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Bowie\Documents\COW\other\Translation\business and company mgt\GWC09082022\"/>
    </mc:Choice>
  </mc:AlternateContent>
  <xr:revisionPtr revIDLastSave="0" documentId="13_ncr:1_{1150E6B2-2A8C-4B83-99BD-5EB0F1FF106A}" xr6:coauthVersionLast="47" xr6:coauthVersionMax="47" xr10:uidLastSave="{00000000-0000-0000-0000-000000000000}"/>
  <workbookProtection workbookAlgorithmName="SHA-512" workbookHashValue="7Yg9z22VyS9t1oZJ6sB+9mtgMezof2Daa9C2mMAbMiYijrQS8O9HQX/0m8fJCu+IHeWVeM+cNF1QgyG+n8yiBA==" workbookSaltValue="C8PCHCsbL5jsOM+8WN0uLw==" workbookSpinCount="100000" lockStructure="1"/>
  <bookViews>
    <workbookView xWindow="-120" yWindow="-120" windowWidth="29040" windowHeight="15840" activeTab="2" xr2:uid="{49A9D1FE-178B-45C6-8C87-556868ACF1BB}"/>
  </bookViews>
  <sheets>
    <sheet name="Calculation sheet, 23-05-22" sheetId="12" r:id="rId1"/>
    <sheet name="Weighting factors,14-06-21" sheetId="5" r:id="rId2"/>
    <sheet name="Indicators,16-12-21" sheetId="11" r:id="rId3"/>
  </sheets>
  <definedNames>
    <definedName name="_xlnm._FilterDatabase" localSheetId="2" hidden="1">'Indicators,16-12-21'!$A$2:$AA$27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8" i="12" l="1"/>
  <c r="O16" i="12"/>
  <c r="O14" i="12"/>
  <c r="O12" i="12"/>
  <c r="O17" i="12"/>
  <c r="O15" i="12"/>
  <c r="O13" i="12"/>
  <c r="O11" i="12"/>
  <c r="J18" i="12"/>
  <c r="B176" i="12"/>
  <c r="B165" i="12"/>
  <c r="B155" i="12"/>
  <c r="B140" i="12"/>
  <c r="B125" i="12"/>
  <c r="B103" i="12"/>
  <c r="B93" i="12"/>
  <c r="B82" i="12"/>
  <c r="B69" i="12"/>
  <c r="B55" i="12"/>
  <c r="D6" i="12" l="1"/>
  <c r="O20" i="12"/>
  <c r="J11" i="12"/>
  <c r="C11" i="12"/>
  <c r="B11" i="12"/>
  <c r="J13" i="12"/>
  <c r="C13" i="12"/>
  <c r="B13" i="12"/>
  <c r="AB3" i="5"/>
  <c r="AA3" i="5"/>
  <c r="Z3" i="5"/>
  <c r="Y3" i="5"/>
  <c r="X3" i="5"/>
  <c r="W3" i="5"/>
  <c r="V3" i="5"/>
  <c r="U3" i="5"/>
  <c r="S3" i="5"/>
  <c r="R3" i="5"/>
  <c r="Q3" i="5"/>
  <c r="P3" i="5"/>
  <c r="O3" i="5"/>
  <c r="N3" i="5"/>
  <c r="M3" i="5"/>
  <c r="L3" i="5"/>
  <c r="J3" i="5"/>
  <c r="I3" i="5"/>
  <c r="H3" i="5"/>
  <c r="G3" i="5"/>
  <c r="F3" i="5"/>
  <c r="E3" i="5"/>
  <c r="D3" i="5"/>
  <c r="C3" i="5"/>
  <c r="Z25" i="5"/>
  <c r="Y25" i="5"/>
  <c r="Z22" i="5"/>
  <c r="Y22" i="5"/>
  <c r="Z19" i="5"/>
  <c r="Y19" i="5"/>
  <c r="Z14" i="5"/>
  <c r="Y14" i="5"/>
  <c r="Z11" i="5"/>
  <c r="Y11" i="5"/>
  <c r="Z8" i="5"/>
  <c r="Y8" i="5"/>
  <c r="Q23" i="5"/>
  <c r="P23" i="5"/>
  <c r="Q12" i="5"/>
  <c r="P12" i="5"/>
  <c r="H15" i="5"/>
  <c r="G15" i="5"/>
  <c r="F28" i="12"/>
  <c r="F27" i="12"/>
  <c r="L22" i="12"/>
  <c r="I56" i="12" l="1"/>
  <c r="I55" i="12"/>
  <c r="I187" i="12"/>
  <c r="I181" i="12"/>
  <c r="I165" i="12"/>
  <c r="I156" i="12"/>
  <c r="I151" i="12"/>
  <c r="I145" i="12"/>
  <c r="I133" i="12"/>
  <c r="I124" i="12"/>
  <c r="I111" i="12"/>
  <c r="I105" i="12"/>
  <c r="I96" i="12"/>
  <c r="I86" i="12"/>
  <c r="I78" i="12"/>
  <c r="I64" i="12"/>
  <c r="I59" i="12"/>
  <c r="I179" i="12"/>
  <c r="I170" i="12"/>
  <c r="I141" i="12"/>
  <c r="I143" i="12"/>
  <c r="I121" i="12"/>
  <c r="I100" i="12"/>
  <c r="I84" i="12"/>
  <c r="I63" i="12"/>
  <c r="I147" i="12"/>
  <c r="I107" i="12"/>
  <c r="I98" i="12"/>
  <c r="I69" i="12"/>
  <c r="I116" i="12"/>
  <c r="I186" i="12"/>
  <c r="I180" i="12"/>
  <c r="I171" i="12"/>
  <c r="I155" i="12"/>
  <c r="I150" i="12"/>
  <c r="I144" i="12"/>
  <c r="I131" i="12"/>
  <c r="I122" i="12"/>
  <c r="I110" i="12"/>
  <c r="I102" i="12"/>
  <c r="I95" i="12"/>
  <c r="I85" i="12"/>
  <c r="I77" i="12"/>
  <c r="I65" i="12"/>
  <c r="I58" i="12"/>
  <c r="I185" i="12"/>
  <c r="I160" i="12"/>
  <c r="I126" i="12"/>
  <c r="I109" i="12"/>
  <c r="I92" i="12"/>
  <c r="I76" i="12"/>
  <c r="I57" i="12"/>
  <c r="I172" i="12"/>
  <c r="I164" i="12"/>
  <c r="I154" i="12"/>
  <c r="I135" i="12"/>
  <c r="I128" i="12"/>
  <c r="I82" i="12"/>
  <c r="I166" i="12"/>
  <c r="I146" i="12"/>
  <c r="I127" i="12"/>
  <c r="I97" i="12"/>
  <c r="I72" i="12"/>
  <c r="I184" i="12"/>
  <c r="I178" i="12"/>
  <c r="I169" i="12"/>
  <c r="I159" i="12"/>
  <c r="I140" i="12"/>
  <c r="I142" i="12"/>
  <c r="I125" i="12"/>
  <c r="I120" i="12"/>
  <c r="I104" i="12"/>
  <c r="I94" i="12"/>
  <c r="I89" i="12"/>
  <c r="I81" i="12"/>
  <c r="I75" i="12"/>
  <c r="I61" i="12"/>
  <c r="I49" i="12"/>
  <c r="I177" i="12"/>
  <c r="I117" i="12"/>
  <c r="I71" i="12"/>
  <c r="I161" i="12"/>
  <c r="I134" i="12"/>
  <c r="I106" i="12"/>
  <c r="I60" i="12"/>
  <c r="I183" i="12"/>
  <c r="I175" i="12"/>
  <c r="I168" i="12"/>
  <c r="I158" i="12"/>
  <c r="I149" i="12"/>
  <c r="I139" i="12"/>
  <c r="I130" i="12"/>
  <c r="I119" i="12"/>
  <c r="I103" i="12"/>
  <c r="I93" i="12"/>
  <c r="I88" i="12"/>
  <c r="I79" i="12"/>
  <c r="I74" i="12"/>
  <c r="I54" i="12"/>
  <c r="I152" i="12"/>
  <c r="I87" i="12"/>
  <c r="I182" i="12"/>
  <c r="I173" i="12"/>
  <c r="I167" i="12"/>
  <c r="I157" i="12"/>
  <c r="I148" i="12"/>
  <c r="I136" i="12"/>
  <c r="I129" i="12"/>
  <c r="I118" i="12"/>
  <c r="I108" i="12"/>
  <c r="I99" i="12"/>
  <c r="I83" i="12"/>
  <c r="I70" i="12"/>
  <c r="I73" i="12"/>
  <c r="I176" i="12"/>
  <c r="I68" i="12"/>
  <c r="I50" i="12"/>
  <c r="I52" i="12"/>
  <c r="I51" i="12"/>
  <c r="J29" i="12"/>
  <c r="G10" i="12" s="1"/>
  <c r="J30" i="12"/>
  <c r="J32" i="12"/>
  <c r="J31" i="12"/>
  <c r="J36" i="12"/>
  <c r="F10" i="12"/>
  <c r="I10" i="12"/>
  <c r="H10" i="12"/>
  <c r="J33" i="12"/>
  <c r="J34" i="12"/>
  <c r="J35" i="12"/>
  <c r="L91" i="12" l="1"/>
  <c r="L123" i="12"/>
  <c r="L62" i="12"/>
  <c r="L132" i="12"/>
  <c r="L102" i="12"/>
  <c r="L153" i="12"/>
  <c r="L163" i="12"/>
  <c r="L115" i="12"/>
  <c r="L53" i="12"/>
  <c r="L174" i="12"/>
  <c r="L67" i="12"/>
  <c r="L48" i="12"/>
  <c r="L138" i="12"/>
  <c r="L80" i="12"/>
  <c r="J21" i="12"/>
  <c r="U25" i="5"/>
  <c r="AB25" i="5"/>
  <c r="AA25" i="5"/>
  <c r="X25" i="5"/>
  <c r="W25" i="5"/>
  <c r="V25" i="5"/>
  <c r="U14" i="5"/>
  <c r="AB14" i="5"/>
  <c r="AA14" i="5"/>
  <c r="X14" i="5"/>
  <c r="W14" i="5"/>
  <c r="V14" i="5"/>
  <c r="S23" i="5"/>
  <c r="L12" i="5"/>
  <c r="B187" i="12"/>
  <c r="B186" i="12"/>
  <c r="B185" i="12"/>
  <c r="B184" i="12"/>
  <c r="B183" i="12"/>
  <c r="B182" i="12"/>
  <c r="B181" i="12"/>
  <c r="B180" i="12"/>
  <c r="B179" i="12"/>
  <c r="B178" i="12"/>
  <c r="B177" i="12"/>
  <c r="B175" i="12"/>
  <c r="B173" i="12"/>
  <c r="B172" i="12"/>
  <c r="B171" i="12"/>
  <c r="B170" i="12"/>
  <c r="B169" i="12"/>
  <c r="B168" i="12"/>
  <c r="B167" i="12"/>
  <c r="B166" i="12"/>
  <c r="B164" i="12"/>
  <c r="B161" i="12"/>
  <c r="B160" i="12"/>
  <c r="B159" i="12"/>
  <c r="B158" i="12"/>
  <c r="B157" i="12"/>
  <c r="B156" i="12"/>
  <c r="B154" i="12"/>
  <c r="B152" i="12"/>
  <c r="B151" i="12"/>
  <c r="B150" i="12"/>
  <c r="B149" i="12"/>
  <c r="B148" i="12"/>
  <c r="B147" i="12"/>
  <c r="B146" i="12"/>
  <c r="B145" i="12"/>
  <c r="B144" i="12"/>
  <c r="B143" i="12"/>
  <c r="B142" i="12"/>
  <c r="B141" i="12"/>
  <c r="B139" i="12"/>
  <c r="B136" i="12"/>
  <c r="B135" i="12"/>
  <c r="B134" i="12"/>
  <c r="B133" i="12"/>
  <c r="B131" i="12"/>
  <c r="B130" i="12"/>
  <c r="B129" i="12"/>
  <c r="B128" i="12"/>
  <c r="B127" i="12"/>
  <c r="B126" i="12"/>
  <c r="B124" i="12"/>
  <c r="B122" i="12"/>
  <c r="B121" i="12"/>
  <c r="B120" i="12"/>
  <c r="B119" i="12"/>
  <c r="B118" i="12"/>
  <c r="B117" i="12"/>
  <c r="B116" i="12"/>
  <c r="B89" i="12"/>
  <c r="B88" i="12"/>
  <c r="B87" i="12"/>
  <c r="B86" i="12"/>
  <c r="B85" i="12"/>
  <c r="B84" i="12"/>
  <c r="B83" i="12"/>
  <c r="B81" i="12"/>
  <c r="B79" i="12"/>
  <c r="B78" i="12"/>
  <c r="B77" i="12"/>
  <c r="B76" i="12"/>
  <c r="B75" i="12"/>
  <c r="B74" i="12"/>
  <c r="B73" i="12"/>
  <c r="B72" i="12"/>
  <c r="B71" i="12"/>
  <c r="B70" i="12"/>
  <c r="B68" i="12"/>
  <c r="B100" i="12"/>
  <c r="B99" i="12"/>
  <c r="B98" i="12"/>
  <c r="B97" i="12"/>
  <c r="B96" i="12"/>
  <c r="B95" i="12"/>
  <c r="B94" i="12"/>
  <c r="B92" i="12"/>
  <c r="B111" i="12"/>
  <c r="B110" i="12"/>
  <c r="B109" i="12"/>
  <c r="B108" i="12"/>
  <c r="B107" i="12"/>
  <c r="B106" i="12"/>
  <c r="B105" i="12"/>
  <c r="B104" i="12"/>
  <c r="B102" i="12"/>
  <c r="B63" i="12"/>
  <c r="B54" i="12"/>
  <c r="B65" i="12" l="1"/>
  <c r="B64" i="12"/>
  <c r="B61" i="12"/>
  <c r="B60" i="12"/>
  <c r="B59" i="12"/>
  <c r="B58" i="12"/>
  <c r="B57" i="12"/>
  <c r="B56" i="12"/>
  <c r="B52" i="12"/>
  <c r="B51" i="12"/>
  <c r="B50" i="12"/>
  <c r="B49" i="12"/>
  <c r="C28" i="12"/>
  <c r="B28" i="12"/>
  <c r="C27" i="12"/>
  <c r="B27" i="12"/>
  <c r="C36" i="12"/>
  <c r="C35" i="12"/>
  <c r="C34" i="12"/>
  <c r="C33" i="12"/>
  <c r="C32" i="12"/>
  <c r="C31" i="12"/>
  <c r="C30" i="12"/>
  <c r="C29" i="12"/>
  <c r="B36" i="12"/>
  <c r="B35" i="12"/>
  <c r="B34" i="12"/>
  <c r="B33" i="12"/>
  <c r="B32" i="12"/>
  <c r="B31" i="12"/>
  <c r="B30" i="12"/>
  <c r="B29" i="12"/>
  <c r="C18" i="12"/>
  <c r="C19" i="12"/>
  <c r="C20" i="12"/>
  <c r="C21" i="12"/>
  <c r="C22" i="12"/>
  <c r="C23" i="12"/>
  <c r="C24" i="12"/>
  <c r="C25" i="12"/>
  <c r="C26" i="12"/>
  <c r="C17" i="12"/>
  <c r="C16" i="12"/>
  <c r="C15" i="12"/>
  <c r="C14" i="12"/>
  <c r="C12" i="12"/>
  <c r="B12" i="12"/>
  <c r="B26" i="12"/>
  <c r="B25" i="12"/>
  <c r="B24" i="12"/>
  <c r="B23" i="12"/>
  <c r="C92" i="12" s="1"/>
  <c r="B22" i="12"/>
  <c r="C63" i="12" s="1"/>
  <c r="B21" i="12"/>
  <c r="B20" i="12"/>
  <c r="B19" i="12"/>
  <c r="B18" i="12"/>
  <c r="B17" i="12"/>
  <c r="B16" i="12"/>
  <c r="B15" i="12"/>
  <c r="B14" i="12"/>
  <c r="J26" i="12"/>
  <c r="J25" i="12"/>
  <c r="J24" i="12"/>
  <c r="J23" i="12"/>
  <c r="J22" i="12"/>
  <c r="J20" i="12"/>
  <c r="J19" i="12"/>
  <c r="J17" i="12"/>
  <c r="J16" i="12"/>
  <c r="J15" i="12"/>
  <c r="J14" i="12"/>
  <c r="J12" i="12"/>
  <c r="F100" i="12" l="1"/>
  <c r="F94" i="12"/>
  <c r="F99" i="12"/>
  <c r="F55" i="12"/>
  <c r="F52" i="12"/>
  <c r="C54" i="12"/>
  <c r="C68" i="12"/>
  <c r="C81" i="12"/>
  <c r="F60" i="12"/>
  <c r="F54" i="12"/>
  <c r="F59" i="12"/>
  <c r="C102" i="12"/>
  <c r="F49" i="12"/>
  <c r="C165" i="12"/>
  <c r="C176" i="12"/>
  <c r="F176" i="12"/>
  <c r="F165" i="12"/>
  <c r="C140" i="12"/>
  <c r="C155" i="12"/>
  <c r="F155" i="12"/>
  <c r="F140" i="12"/>
  <c r="C103" i="12"/>
  <c r="C125" i="12"/>
  <c r="C178" i="12"/>
  <c r="F168" i="12"/>
  <c r="F125" i="12"/>
  <c r="F148" i="12"/>
  <c r="F103" i="12"/>
  <c r="F93" i="12"/>
  <c r="C82" i="12"/>
  <c r="C93" i="12"/>
  <c r="F175" i="12"/>
  <c r="F82" i="12"/>
  <c r="F98" i="12"/>
  <c r="F70" i="12"/>
  <c r="F156" i="12"/>
  <c r="C144" i="12"/>
  <c r="F181" i="12"/>
  <c r="F69" i="12"/>
  <c r="F126" i="12"/>
  <c r="C55" i="12"/>
  <c r="C69" i="12"/>
  <c r="F71" i="12"/>
  <c r="C117" i="12"/>
  <c r="F143" i="12"/>
  <c r="F85" i="12"/>
  <c r="C171" i="12"/>
  <c r="F56" i="12"/>
  <c r="C56" i="12"/>
  <c r="C148" i="12"/>
  <c r="F73" i="12"/>
  <c r="F117" i="12"/>
  <c r="C181" i="12"/>
  <c r="F86" i="12"/>
  <c r="F107" i="12"/>
  <c r="C143" i="12"/>
  <c r="C168" i="12"/>
  <c r="C85" i="12"/>
  <c r="F144" i="12"/>
  <c r="C98" i="12"/>
  <c r="F145" i="12"/>
  <c r="C70" i="12"/>
  <c r="F178" i="12"/>
  <c r="C156" i="12"/>
  <c r="C175" i="12"/>
  <c r="C126" i="12"/>
  <c r="F171" i="12"/>
  <c r="C73" i="12"/>
  <c r="C97" i="12"/>
  <c r="C169" i="12"/>
  <c r="C159" i="12"/>
  <c r="C129" i="12"/>
  <c r="C127" i="12"/>
  <c r="F58" i="12"/>
  <c r="C58" i="12"/>
  <c r="C139" i="12"/>
  <c r="F97" i="12"/>
  <c r="F68" i="12"/>
  <c r="F169" i="12"/>
  <c r="F72" i="12"/>
  <c r="C94" i="12"/>
  <c r="C116" i="12"/>
  <c r="F159" i="12"/>
  <c r="C71" i="12"/>
  <c r="F77" i="12"/>
  <c r="F179" i="12"/>
  <c r="F129" i="12"/>
  <c r="F128" i="12"/>
  <c r="F166" i="12"/>
  <c r="F127" i="12"/>
  <c r="F154" i="12"/>
  <c r="F75" i="12"/>
  <c r="F149" i="12"/>
  <c r="C128" i="12"/>
  <c r="C75" i="12"/>
  <c r="C59" i="12"/>
  <c r="F133" i="12"/>
  <c r="F81" i="12"/>
  <c r="F160" i="12"/>
  <c r="C96" i="12"/>
  <c r="C134" i="12"/>
  <c r="C146" i="12"/>
  <c r="C95" i="12"/>
  <c r="F105" i="12"/>
  <c r="C167" i="12"/>
  <c r="C118" i="12"/>
  <c r="F136" i="12"/>
  <c r="F157" i="12"/>
  <c r="C76" i="12"/>
  <c r="C142" i="12"/>
  <c r="C99" i="12"/>
  <c r="C141" i="12"/>
  <c r="C107" i="12"/>
  <c r="C145" i="12"/>
  <c r="F139" i="12"/>
  <c r="F116" i="12"/>
  <c r="C166" i="12"/>
  <c r="C49" i="12"/>
  <c r="C60" i="12"/>
  <c r="C133" i="12"/>
  <c r="C160" i="12"/>
  <c r="F96" i="12"/>
  <c r="F92" i="12"/>
  <c r="F134" i="12"/>
  <c r="F146" i="12"/>
  <c r="F95" i="12"/>
  <c r="C105" i="12"/>
  <c r="F167" i="12"/>
  <c r="F118" i="12"/>
  <c r="C136" i="12"/>
  <c r="C157" i="12"/>
  <c r="F76" i="12"/>
  <c r="F142" i="12"/>
  <c r="F141" i="12"/>
  <c r="C72" i="12"/>
  <c r="C77" i="12"/>
  <c r="C154" i="12"/>
  <c r="C50" i="12"/>
  <c r="F50" i="12"/>
  <c r="F64" i="12"/>
  <c r="C64" i="12"/>
  <c r="C170" i="12"/>
  <c r="C87" i="12"/>
  <c r="F78" i="12"/>
  <c r="F74" i="12"/>
  <c r="F147" i="12"/>
  <c r="C108" i="12"/>
  <c r="F164" i="12"/>
  <c r="F180" i="12"/>
  <c r="F130" i="12"/>
  <c r="C106" i="12"/>
  <c r="F177" i="12"/>
  <c r="C158" i="12"/>
  <c r="C84" i="12"/>
  <c r="C124" i="12"/>
  <c r="C83" i="12"/>
  <c r="C104" i="12"/>
  <c r="C135" i="12"/>
  <c r="F63" i="12"/>
  <c r="C86" i="12"/>
  <c r="C57" i="12"/>
  <c r="F57" i="12"/>
  <c r="C179" i="12"/>
  <c r="C149" i="12"/>
  <c r="F51" i="12"/>
  <c r="C51" i="12"/>
  <c r="F65" i="12"/>
  <c r="C65" i="12"/>
  <c r="F170" i="12"/>
  <c r="F87" i="12"/>
  <c r="C78" i="12"/>
  <c r="C74" i="12"/>
  <c r="C147" i="12"/>
  <c r="F108" i="12"/>
  <c r="C164" i="12"/>
  <c r="C180" i="12"/>
  <c r="C130" i="12"/>
  <c r="F106" i="12"/>
  <c r="C177" i="12"/>
  <c r="F158" i="12"/>
  <c r="F84" i="12"/>
  <c r="F124" i="12"/>
  <c r="F83" i="12"/>
  <c r="F104" i="12"/>
  <c r="F135" i="12"/>
  <c r="F102" i="12"/>
  <c r="C161" i="12"/>
  <c r="C185" i="12"/>
  <c r="C187" i="12"/>
  <c r="C186" i="12"/>
  <c r="F186" i="12"/>
  <c r="C184" i="12"/>
  <c r="C182" i="12"/>
  <c r="C183" i="12"/>
  <c r="C173" i="12"/>
  <c r="C172" i="12"/>
  <c r="C131" i="12"/>
  <c r="C150" i="12"/>
  <c r="C152" i="12"/>
  <c r="C151" i="12"/>
  <c r="C121" i="12"/>
  <c r="C119" i="12"/>
  <c r="C120" i="12"/>
  <c r="C122" i="12"/>
  <c r="C79" i="12"/>
  <c r="C89" i="12"/>
  <c r="C88" i="12"/>
  <c r="C100" i="12"/>
  <c r="C110" i="12"/>
  <c r="C111" i="12"/>
  <c r="C109" i="12"/>
  <c r="C52" i="12"/>
  <c r="C61" i="12"/>
  <c r="F120" i="12"/>
  <c r="F61" i="12"/>
  <c r="F121" i="12"/>
  <c r="F89" i="12"/>
  <c r="F88" i="12"/>
  <c r="F111" i="12"/>
  <c r="F185" i="12"/>
  <c r="F122" i="12"/>
  <c r="AD3" i="5" l="1"/>
  <c r="F183" i="12"/>
  <c r="F187" i="12"/>
  <c r="F184" i="12"/>
  <c r="F182" i="12"/>
  <c r="F173" i="12"/>
  <c r="F172" i="12"/>
  <c r="F161" i="12"/>
  <c r="F150" i="12"/>
  <c r="F152" i="12"/>
  <c r="F151" i="12"/>
  <c r="F131" i="12"/>
  <c r="F119" i="12"/>
  <c r="F79" i="12"/>
  <c r="F110" i="12"/>
  <c r="F109" i="12"/>
  <c r="AD6" i="5" l="1"/>
  <c r="H48" i="12" s="1"/>
  <c r="AD4" i="5"/>
  <c r="G42" i="12" s="1"/>
  <c r="U22" i="5"/>
  <c r="U19" i="5"/>
  <c r="U11" i="5"/>
  <c r="U8" i="5"/>
  <c r="V22" i="5"/>
  <c r="V19" i="5"/>
  <c r="V11" i="5"/>
  <c r="V8" i="5"/>
  <c r="W22" i="5"/>
  <c r="W19" i="5"/>
  <c r="W11" i="5"/>
  <c r="W8" i="5"/>
  <c r="X22" i="5"/>
  <c r="X19" i="5"/>
  <c r="X11" i="5"/>
  <c r="AD11" i="5" s="1"/>
  <c r="H80" i="12" s="1"/>
  <c r="X8" i="5"/>
  <c r="AD8" i="5" s="1"/>
  <c r="H62" i="12" s="1"/>
  <c r="AA22" i="5"/>
  <c r="AA19" i="5"/>
  <c r="AA11" i="5"/>
  <c r="AA8" i="5"/>
  <c r="L23" i="5"/>
  <c r="M23" i="5"/>
  <c r="M12" i="5"/>
  <c r="N23" i="5"/>
  <c r="N12" i="5"/>
  <c r="O23" i="5"/>
  <c r="O12" i="5"/>
  <c r="R23" i="5"/>
  <c r="R12" i="5"/>
  <c r="F15" i="5"/>
  <c r="AD15" i="5" s="1"/>
  <c r="G43" i="12" s="1"/>
  <c r="E15" i="5"/>
  <c r="C15" i="5"/>
  <c r="D15" i="5"/>
  <c r="I15" i="5"/>
  <c r="S12" i="5"/>
  <c r="AB11" i="5"/>
  <c r="AB8" i="5"/>
  <c r="AB22" i="5"/>
  <c r="AD22" i="5" s="1"/>
  <c r="H153" i="12" s="1"/>
  <c r="AB19" i="5"/>
  <c r="J15" i="5"/>
  <c r="AD14" i="5"/>
  <c r="H101" i="12" s="1"/>
  <c r="AD12" i="5"/>
  <c r="G90" i="12" s="1"/>
  <c r="AD23" i="5"/>
  <c r="G162" i="12" s="1"/>
  <c r="AD13" i="5"/>
  <c r="H91" i="12" s="1"/>
  <c r="AD25" i="5"/>
  <c r="H174" i="12" s="1"/>
  <c r="AD16" i="5"/>
  <c r="G114" i="12" s="1"/>
  <c r="AD17" i="5"/>
  <c r="H115" i="12" s="1"/>
  <c r="AD5" i="5"/>
  <c r="G47" i="12" s="1"/>
  <c r="AD9" i="5"/>
  <c r="G66" i="12" s="1"/>
  <c r="AD18" i="5"/>
  <c r="H123" i="12" s="1"/>
  <c r="AD21" i="5"/>
  <c r="H138" i="12" s="1"/>
  <c r="AD20" i="5"/>
  <c r="G137" i="12" s="1"/>
  <c r="AD7" i="5"/>
  <c r="H53" i="12" s="1"/>
  <c r="AD24" i="5"/>
  <c r="H163" i="12" s="1"/>
  <c r="AD10" i="5"/>
  <c r="H67" i="12" s="1"/>
  <c r="J51" i="12" l="1"/>
  <c r="J52" i="12"/>
  <c r="J150" i="12"/>
  <c r="J173" i="12"/>
  <c r="J131" i="12"/>
  <c r="J151" i="12"/>
  <c r="J183" i="12"/>
  <c r="J187" i="12"/>
  <c r="J184" i="12"/>
  <c r="J172" i="12"/>
  <c r="J55" i="12"/>
  <c r="J59" i="12"/>
  <c r="J63" i="12"/>
  <c r="J49" i="12"/>
  <c r="J64" i="12"/>
  <c r="J57" i="12"/>
  <c r="J50" i="12"/>
  <c r="J56" i="12"/>
  <c r="J58" i="12"/>
  <c r="J164" i="12"/>
  <c r="J181" i="12"/>
  <c r="J169" i="12"/>
  <c r="J171" i="12"/>
  <c r="J166" i="12"/>
  <c r="J170" i="12"/>
  <c r="J176" i="12"/>
  <c r="J180" i="12"/>
  <c r="J185" i="12"/>
  <c r="J186" i="12"/>
  <c r="J165" i="12"/>
  <c r="J178" i="12"/>
  <c r="J167" i="12"/>
  <c r="J168" i="12"/>
  <c r="J179" i="12"/>
  <c r="J175" i="12"/>
  <c r="J177" i="12"/>
  <c r="J161" i="12"/>
  <c r="J119" i="12"/>
  <c r="J94" i="12"/>
  <c r="J95" i="12"/>
  <c r="J97" i="12"/>
  <c r="J104" i="12"/>
  <c r="J107" i="12"/>
  <c r="J117" i="12"/>
  <c r="J124" i="12"/>
  <c r="J116" i="12"/>
  <c r="J130" i="12"/>
  <c r="J126" i="12"/>
  <c r="J125" i="12"/>
  <c r="J118" i="12"/>
  <c r="J129" i="12"/>
  <c r="J120" i="12"/>
  <c r="J122" i="12"/>
  <c r="J128" i="12"/>
  <c r="J127" i="12"/>
  <c r="J121" i="12"/>
  <c r="J144" i="12"/>
  <c r="J156" i="12"/>
  <c r="J146" i="12"/>
  <c r="J159" i="12"/>
  <c r="J155" i="12"/>
  <c r="J139" i="12"/>
  <c r="J149" i="12"/>
  <c r="J143" i="12"/>
  <c r="J140" i="12"/>
  <c r="J142" i="12"/>
  <c r="J154" i="12"/>
  <c r="J158" i="12"/>
  <c r="J141" i="12"/>
  <c r="J147" i="12"/>
  <c r="J148" i="12"/>
  <c r="J145" i="12"/>
  <c r="J160" i="12"/>
  <c r="J157" i="12"/>
  <c r="J83" i="12"/>
  <c r="J87" i="12"/>
  <c r="J68" i="12"/>
  <c r="J72" i="12"/>
  <c r="J70" i="12"/>
  <c r="J69" i="12"/>
  <c r="J84" i="12"/>
  <c r="J152" i="12"/>
  <c r="J182" i="12"/>
  <c r="J93" i="12"/>
  <c r="J103" i="12"/>
  <c r="J82" i="12"/>
  <c r="AD19" i="5"/>
  <c r="H132" i="12" s="1"/>
  <c r="J135" i="12" s="1"/>
  <c r="J89" i="12"/>
  <c r="J65" i="12"/>
  <c r="J54" i="12"/>
  <c r="J60" i="12"/>
  <c r="J61" i="12"/>
  <c r="J102" i="12"/>
  <c r="J105" i="12"/>
  <c r="J106" i="12"/>
  <c r="J99" i="12"/>
  <c r="J111" i="12"/>
  <c r="J98" i="12"/>
  <c r="J110" i="12"/>
  <c r="J108" i="12"/>
  <c r="J92" i="12"/>
  <c r="J96" i="12"/>
  <c r="J109" i="12"/>
  <c r="J100" i="12"/>
  <c r="J73" i="12"/>
  <c r="J88" i="12"/>
  <c r="J77" i="12"/>
  <c r="J81" i="12"/>
  <c r="J79" i="12"/>
  <c r="J85" i="12"/>
  <c r="J71" i="12"/>
  <c r="J78" i="12"/>
  <c r="J74" i="12"/>
  <c r="J75" i="12"/>
  <c r="J86" i="12"/>
  <c r="J76" i="12"/>
  <c r="J138" i="12" l="1"/>
  <c r="J123" i="12"/>
  <c r="J153" i="12"/>
  <c r="J174" i="12"/>
  <c r="J163" i="12"/>
  <c r="J136" i="12"/>
  <c r="J134" i="12"/>
  <c r="J53" i="12"/>
  <c r="J133" i="12"/>
  <c r="J62" i="12"/>
  <c r="J115" i="12"/>
  <c r="J48" i="12"/>
  <c r="J67" i="12"/>
  <c r="J80" i="12"/>
  <c r="J91" i="12"/>
  <c r="J101" i="12"/>
  <c r="J90" i="12" l="1"/>
  <c r="J132" i="12"/>
  <c r="J114" i="12" s="1"/>
  <c r="J137" i="12"/>
  <c r="J47" i="12"/>
  <c r="J162" i="12"/>
  <c r="J66" i="12"/>
  <c r="J46" i="12" l="1"/>
  <c r="J42" i="12" s="1"/>
  <c r="J113" i="12"/>
  <c r="J43" i="12" s="1"/>
  <c r="J41" i="12" l="1"/>
  <c r="J38" i="12" s="1"/>
</calcChain>
</file>

<file path=xl/sharedStrings.xml><?xml version="1.0" encoding="utf-8"?>
<sst xmlns="http://schemas.openxmlformats.org/spreadsheetml/2006/main" count="502" uniqueCount="362">
  <si>
    <t>CALCULATION TOOL: ADAPTIVE CAPACITY METHOD 1.0</t>
  </si>
  <si>
    <t>© W/E adviseurs, May 2022</t>
  </si>
  <si>
    <t>INPUT CONTEXT</t>
  </si>
  <si>
    <t>Use function</t>
  </si>
  <si>
    <t>Residential</t>
  </si>
  <si>
    <t>Location type</t>
  </si>
  <si>
    <t>Non-inner-city</t>
  </si>
  <si>
    <t>Context</t>
  </si>
  <si>
    <t>INPUT PERFORMANCE BY INDICATOR</t>
  </si>
  <si>
    <t>Choice of additional input</t>
  </si>
  <si>
    <t>specification</t>
  </si>
  <si>
    <t>performance</t>
  </si>
  <si>
    <t>poor</t>
  </si>
  <si>
    <t>normal</t>
  </si>
  <si>
    <t>better</t>
  </si>
  <si>
    <t>good</t>
  </si>
  <si>
    <t>points</t>
  </si>
  <si>
    <t>Use functions</t>
  </si>
  <si>
    <t>number per performance</t>
  </si>
  <si>
    <t>0 / 1 / 2 / 4</t>
  </si>
  <si>
    <t>Code</t>
  </si>
  <si>
    <t>x</t>
  </si>
  <si>
    <t>Office</t>
  </si>
  <si>
    <t>1.WO-BI</t>
  </si>
  <si>
    <t>Retail</t>
  </si>
  <si>
    <t>2.WO-NB</t>
  </si>
  <si>
    <t>Utility,other</t>
  </si>
  <si>
    <t>3.KA-BI</t>
  </si>
  <si>
    <t>4.KA-NB</t>
  </si>
  <si>
    <t>5.WI-BI</t>
  </si>
  <si>
    <t>Inner-city</t>
  </si>
  <si>
    <t>6.WI-NB</t>
  </si>
  <si>
    <t>7.UO-BI</t>
  </si>
  <si>
    <t>8.UO-NB</t>
  </si>
  <si>
    <t>Input options</t>
  </si>
  <si>
    <t>Yes/no utility</t>
  </si>
  <si>
    <t>use defaults</t>
  </si>
  <si>
    <t>Options</t>
  </si>
  <si>
    <t>fair</t>
  </si>
  <si>
    <t xml:space="preserve">‘red flag’ for repurposing dynamics </t>
  </si>
  <si>
    <t>height ≤ 260 mm</t>
  </si>
  <si>
    <t>-</t>
  </si>
  <si>
    <t>satisfactory</t>
  </si>
  <si>
    <t>‘red flag’ for reallotability and reallocatability</t>
  </si>
  <si>
    <t>daylight access/depth ≤ 0.5</t>
  </si>
  <si>
    <t>RESULTS</t>
  </si>
  <si>
    <t>SCORE</t>
  </si>
  <si>
    <t>ADAPTIVE CAPACITY (utilized share)</t>
  </si>
  <si>
    <t>minimum = 0% / maximum = 100%</t>
  </si>
  <si>
    <t>weighting</t>
  </si>
  <si>
    <t>partial score</t>
  </si>
  <si>
    <t>ADAPTIVE CAPACITY (weighted summation over both perspectives)</t>
  </si>
  <si>
    <t>minimum = 0.00 / maximum = 4.00</t>
  </si>
  <si>
    <t>USE DYNAMICS</t>
  </si>
  <si>
    <t>REPURPOSING DYNAMICS</t>
  </si>
  <si>
    <t>Weighting factors</t>
  </si>
  <si>
    <t>cluster</t>
  </si>
  <si>
    <t>type</t>
  </si>
  <si>
    <t>indicator</t>
  </si>
  <si>
    <t>Building volume</t>
  </si>
  <si>
    <t>Expandability</t>
  </si>
  <si>
    <t>Disposability</t>
  </si>
  <si>
    <t>Relocatability</t>
  </si>
  <si>
    <t>Layout within volume</t>
  </si>
  <si>
    <t>Reallotability</t>
  </si>
  <si>
    <t>Reallocatability (within unit)</t>
  </si>
  <si>
    <t>Building quality</t>
  </si>
  <si>
    <t>Expandability of facilities</t>
  </si>
  <si>
    <t>Adaptability of technical quality</t>
  </si>
  <si>
    <t>Weighing set all contexts</t>
  </si>
  <si>
    <t>Perspective</t>
  </si>
  <si>
    <t>Cluster</t>
  </si>
  <si>
    <t>Adaptivity type</t>
  </si>
  <si>
    <t>Weighing set</t>
  </si>
  <si>
    <t>Item / context</t>
  </si>
  <si>
    <t>Use dynamics</t>
  </si>
  <si>
    <t>Repurposing dynamics</t>
  </si>
  <si>
    <t>© W/E adviseurs, October 2021</t>
  </si>
  <si>
    <t>Overview and features of indicators</t>
  </si>
  <si>
    <t>Adjustable volume</t>
  </si>
  <si>
    <t>Adjustable within volume</t>
  </si>
  <si>
    <t>Adaptable quality</t>
  </si>
  <si>
    <t>Performance levels</t>
  </si>
  <si>
    <t>Explanation of criteria</t>
  </si>
  <si>
    <t>Additional features</t>
  </si>
  <si>
    <t>Legend</t>
  </si>
  <si>
    <t>© DGBC &amp; W/E adviseurs. December 2021</t>
  </si>
  <si>
    <t>Indicator</t>
  </si>
  <si>
    <t>Load-bearing or supplementary</t>
  </si>
  <si>
    <t>Use and/or repurposing dynamics</t>
  </si>
  <si>
    <t>Description</t>
  </si>
  <si>
    <t>Importance</t>
  </si>
  <si>
    <t>Change in increase in area of use</t>
  </si>
  <si>
    <t>Change in decrease in area of use</t>
  </si>
  <si>
    <t>Change in place of building</t>
  </si>
  <si>
    <t>Change in size/functions at building level</t>
  </si>
  <si>
    <t>Change in the layout in the building</t>
  </si>
  <si>
    <t>Change in facilities/systems</t>
  </si>
  <si>
    <t>Change of the interior/finishing</t>
  </si>
  <si>
    <t>1. Poor</t>
  </si>
  <si>
    <t>2. Fair</t>
  </si>
  <si>
    <t>3. Good</t>
  </si>
  <si>
    <t>4. Excellent</t>
  </si>
  <si>
    <t>Additional information/definitions</t>
  </si>
  <si>
    <t>Influence</t>
  </si>
  <si>
    <t>GPR</t>
  </si>
  <si>
    <t>Flextool DGBC</t>
  </si>
  <si>
    <r>
      <rPr>
        <b/>
        <sz val="8"/>
        <color rgb="FF000000"/>
        <rFont val="Arial"/>
        <family val="2"/>
      </rPr>
      <t>Influence</t>
    </r>
    <r>
      <rPr>
        <sz val="8"/>
        <color rgb="FF000000"/>
        <rFont val="Arial"/>
        <family val="2"/>
      </rPr>
      <t xml:space="preserve">
B -&gt; Structural
D -&gt; Load-bearing structure
F -&gt; Functional change
I -&gt; System
T -&gt; Accessibility
U -&gt; Expandability</t>
    </r>
  </si>
  <si>
    <r>
      <rPr>
        <b/>
        <sz val="8"/>
        <color rgb="FF000000"/>
        <rFont val="Arial"/>
        <family val="2"/>
      </rPr>
      <t>Importance</t>
    </r>
    <r>
      <rPr>
        <sz val="8"/>
        <color rgb="FF000000"/>
        <rFont val="Arial"/>
        <family val="2"/>
      </rPr>
      <t xml:space="preserve">
1 -&gt; Least important
2 -&gt; Important
3 -&gt; Most important</t>
    </r>
  </si>
  <si>
    <t>1.1</t>
  </si>
  <si>
    <t>D01a</t>
  </si>
  <si>
    <t>Distinction between load-bearing structure and systems (use dynamics)</t>
  </si>
  <si>
    <t>Load-bearing</t>
  </si>
  <si>
    <t>Use</t>
  </si>
  <si>
    <t>To what extent are the load-bearing structure and system components in the unit/home separate from each other?</t>
  </si>
  <si>
    <t>Very important. If the load-bearing structure and systems are not interwoven, the unit can be classified differently.</t>
  </si>
  <si>
    <t>This is &lt;10% of a unit/house</t>
  </si>
  <si>
    <t xml:space="preserve">This is 10 - 50% of a unit/house </t>
  </si>
  <si>
    <t xml:space="preserve">This is 50 - 80% of a unit/house </t>
  </si>
  <si>
    <t>This is &gt; 80% of a unit/house</t>
  </si>
  <si>
    <t>1.	Percentages are determined on the basis of the GO that depend on the system (components) 2.	Load-bearing elements include both the load-bearing structure and the floors and façade.
3.	Separated means: detachable from each other 4.	Dependent means:  the systems required for indoor climate and electronic systems in a room. 
If one of the distribution channels or lines of these systems are intertwined with the load-bearing structure, the area of this space is assessed as not separated.</t>
  </si>
  <si>
    <t xml:space="preserve">If built-in components are connected to load-bearing elements, the flexibility of the layout is limited. For example, if lines or channels are cast into a concrete floor, they can be more difficult to adjust than if they are not an inseparable part. </t>
  </si>
  <si>
    <t>D</t>
  </si>
  <si>
    <t xml:space="preserve"> 5.2.4: offers more options </t>
  </si>
  <si>
    <t>1.2</t>
  </si>
  <si>
    <t>D01b</t>
  </si>
  <si>
    <t>Distinction between load-bearing structure and systems (repurposing dynamics)</t>
  </si>
  <si>
    <t>Repurposing</t>
  </si>
  <si>
    <t>To what extent are the load-bearing structure and system components in the building separate from each other?</t>
  </si>
  <si>
    <t xml:space="preserve">Very important. If the load-bearing structure and systems are not interwoven, the building can be classified differently. </t>
  </si>
  <si>
    <t xml:space="preserve">This is &lt; 10% of the building </t>
  </si>
  <si>
    <t xml:space="preserve">This is 10 - 30% of the building </t>
  </si>
  <si>
    <t xml:space="preserve">This is 30 - 50% of the building </t>
  </si>
  <si>
    <t>This is &gt; 50% of the building</t>
  </si>
  <si>
    <t>1.	Percentages are determined on the basis of the GO that depend on the system (components)
2.	Load-bearing elements include both the load-bearing structure and the floors and façade. 
3.	Separated means: detachable from each other 4.	Dependent means:  the systems required for indoor climate and electronic systems in a room. 
If one of the distribution channels or lines of these systems are intertwined with the load-bearing structure, the area of this space is assessed as not separated.</t>
  </si>
  <si>
    <t>If built-in components are connected to load-bearing elements, the flexibility of the layout is limited. For example, if lines or channels are cast into a concrete floor, they can be more difficult to adjust than if they are not an inseparable part.</t>
  </si>
  <si>
    <t>D02a</t>
  </si>
  <si>
    <t>Excess building area</t>
  </si>
  <si>
    <t>Use and Repurposing</t>
  </si>
  <si>
    <t>Is the building oversized in terms of required space or available floor area?</t>
  </si>
  <si>
    <t xml:space="preserve">Important. As more space/floor area becomes available (e.g. zoning system with margin spaces), then the reallotability, reallocatability and options in repurposing for future function changes increases. </t>
  </si>
  <si>
    <t>No</t>
  </si>
  <si>
    <t>5 - 10% oversized</t>
  </si>
  <si>
    <t>10 - 20% oversized</t>
  </si>
  <si>
    <t>&gt; 20% oversized</t>
  </si>
  <si>
    <t>1.	Percentages will be determined on the basis of the GO
2.	Based on the program of requirements, the demand for the number of users is determined. The oversizing is then determined in relation to the standard occupancy rate from the building code.</t>
  </si>
  <si>
    <t xml:space="preserve">B </t>
  </si>
  <si>
    <t>D02b</t>
  </si>
  <si>
    <t>Oversized home</t>
  </si>
  <si>
    <t>Is the sizing of the home as such that it allows for multiple layouts of the home?</t>
  </si>
  <si>
    <t xml:space="preserve">Important. As more space/floor area becomes available (e.g. zoning system with margin spaces), then the reallotability, reallocatability and options in repurposing for future changes increases. </t>
  </si>
  <si>
    <t>With a major intervention, several layouts are possible</t>
  </si>
  <si>
    <t>With the placement of an additional wall, an extra (bed) room can be created.</t>
  </si>
  <si>
    <t xml:space="preserve"> With the placement of one or two additional walls, two extra (bed) rooms can be created.</t>
  </si>
  <si>
    <t>1.	Major intervention means that walls must be demolished.
2.	An extra room meets the requirements of the building code for a bed space.</t>
  </si>
  <si>
    <t>D03</t>
  </si>
  <si>
    <t>Free floor height</t>
  </si>
  <si>
    <t>What is the minimum free floor height?</t>
  </si>
  <si>
    <t>Important. As more space/floor area becomes available (e.g. zoning system with margin spaces), then the reallotability, reallocatability and options in repurposing for future function changes increases.</t>
  </si>
  <si>
    <t>&gt; 2.60 m</t>
  </si>
  <si>
    <t>2.60 - 3.00 m</t>
  </si>
  <si>
    <t>3.00 - 3.40 m</t>
  </si>
  <si>
    <t>&gt; 3.40 m</t>
  </si>
  <si>
    <t>1.	Clear floor height is the height between the top of a finished floor and the bottom of the lowest structural section above it. 
2.	At least 95% of the GO must be in compliance.</t>
  </si>
  <si>
    <t>B</t>
  </si>
  <si>
    <t xml:space="preserve">12. Dimensions of the net internal height. Almost the same. </t>
  </si>
  <si>
    <t>D04</t>
  </si>
  <si>
    <t>Oversizing building space/reservation for electrical &amp; mechanical engineering (E&amp;W) systems and shafts</t>
  </si>
  <si>
    <t>Is the building space reserved for (W, E, ECT) systems oversized?</t>
  </si>
  <si>
    <t xml:space="preserve">Important. If the space reservation for the systems is oversized, the extensibility for future function changes increases because additional systems can be added. </t>
  </si>
  <si>
    <t>Not oversized</t>
  </si>
  <si>
    <t>10 - 30% oversized</t>
  </si>
  <si>
    <t>30 - 50% oversized</t>
  </si>
  <si>
    <t>&gt; 50% oversized</t>
  </si>
  <si>
    <t>1.	Based on the system design (E &amp; W), the minimum structural space for the distribution of E, W and ECT was determined. 
2.	Based on the spot with the smallest throughput, the percentage is determined.
3.	The percentage is determined on the basis of the number of throughputs.</t>
  </si>
  <si>
    <t xml:space="preserve">Reserved structural space for systems
This is understood to mean the space present in shafts, cable ducts and other spaces reserved for the distribution of W, E and ECT. </t>
  </si>
  <si>
    <t>I</t>
  </si>
  <si>
    <t>5.1</t>
  </si>
  <si>
    <t>D05</t>
  </si>
  <si>
    <t xml:space="preserve">Expandable building or dwelling/unit, horizontally and/or vertically
</t>
  </si>
  <si>
    <t>To what extent can the building or the residence/unit be extended horizontally and/or vertically without modifying the main load-bearing structure?</t>
  </si>
  <si>
    <t xml:space="preserve">Important. As a building can be expanded to accommodate new or larger existing functions, the options in repurposing and expandability of the building increases. </t>
  </si>
  <si>
    <t>Individual horizontal and/or vertical expansion of a user unit is not possible.</t>
  </si>
  <si>
    <t>10 - 30% expandable</t>
  </si>
  <si>
    <t>30 - 50% expandable</t>
  </si>
  <si>
    <t>&gt; 50% expandable</t>
  </si>
  <si>
    <t>1.	Percentages are determined based on the GO of the current building relative to the potential expansion.
2.	Land is available for horizontal expansion where this expansion could take place. 
3.	For vertical expansion, the main load-bearing structure is suitable for placing one or more floors.</t>
  </si>
  <si>
    <t>GO: use area, determined in accordance with NEN 2580.</t>
  </si>
  <si>
    <t>U</t>
  </si>
  <si>
    <t>5.2. 2</t>
  </si>
  <si>
    <t>D06</t>
  </si>
  <si>
    <t xml:space="preserve">Adjustability of systems
</t>
  </si>
  <si>
    <t>To what extent can the (W, E, ICT) systems respond easily to changing functional requirements? How adjustable are the systems?</t>
  </si>
  <si>
    <t xml:space="preserve">Important. The greater the adjustability and controllability of the system components, the greater the expandability and adaptability of the building. </t>
  </si>
  <si>
    <t>Poor adjustability (monofunctional or fixed use)</t>
  </si>
  <si>
    <t>Limited adjustability, only after extensive measures</t>
  </si>
  <si>
    <t>Partial adjustability, after simple measures</t>
  </si>
  <si>
    <t>Properly and easily adjustable: measurement/control with different use is possible immediately</t>
  </si>
  <si>
    <t>1.	Properly and easily adjustable means that the systems are controlled remotely and that no physical work needs to take place to control the systems. 
2.	If only E or W are properly and easily adjustable, the answer option can be chosen in part.</t>
  </si>
  <si>
    <t>System components
System components include building-related elements, such as air treatment, heat and cold generation, as well as delivery points such as blow-in units and lighting.</t>
  </si>
  <si>
    <t>3. To what extent are the E-facilities in a grid?</t>
  </si>
  <si>
    <t>D07</t>
  </si>
  <si>
    <t xml:space="preserve">Relocatable interior walls
</t>
  </si>
  <si>
    <t>To which extent are interior walls, both space and/or function-separating, easy to move?</t>
  </si>
  <si>
    <t>Important. As interior walls become easier to move, the relocatability of the building increases.</t>
  </si>
  <si>
    <t>Interior walls are not relocatable without major/costly structural intervention.</t>
  </si>
  <si>
    <t>Interior walls are not movable, but are degradable.</t>
  </si>
  <si>
    <t>Interior walls are movable by tearing them down and rebuilding them.</t>
  </si>
  <si>
    <t>Interior walls are easily relocatable without major/costly structural intervention (e.g.- system walls).</t>
  </si>
  <si>
    <t>1.	If a significant portion of the walls (&gt;20% of the linear meters of wall) has a load-bearing function, answer option 1 should be chosen.
2.	Interior walls that are degradable do not have a load-bearing function. 
3.	Interior walls are relocatable if they can perform the same function in another location without losing materials. 
4.	Interior walls can be moved if the floor load permits.</t>
  </si>
  <si>
    <t>2. Which inner walls are used and to what extent are the inner walls movable and reusable?
5. Which function-separating walls are used and to what extent are they movable and reusable?</t>
  </si>
  <si>
    <t>D08</t>
  </si>
  <si>
    <t xml:space="preserve">Disconnectability and accessibility of system components
</t>
  </si>
  <si>
    <t>Can system components be easily disconnected?</t>
  </si>
  <si>
    <t>Important. As the accessibility and disconnectability of system components increases, so does the reallocability and transformability.</t>
  </si>
  <si>
    <t>Components are difficult to reach (at the carrier level, embedded) and therefore, among other things, they are not disconnectable, demountable, or accessible. N</t>
  </si>
  <si>
    <t>Components are difficult to reach (partly at carrier and installation level) and therefore difficult to disconnect, disassemble, or access.</t>
  </si>
  <si>
    <t>Components are easily accessible (components at the installation level) and can be (largely) partially disconnected and disassembled.</t>
  </si>
  <si>
    <t>Components are easily accessible (at the installation level) and are completely disconnectable, dismountable and pluggable.</t>
  </si>
  <si>
    <t>1.	Components are poorly accessible if they are part of the load-bearing structure and, for example, are embedded in concrete. 
2.	If a considerable part (&gt;40% of the number) of the  components is easily accessible, the answer option ‘partial’ can be chosen.</t>
  </si>
  <si>
    <t xml:space="preserve">13. Where are the systems located? </t>
  </si>
  <si>
    <t>D09</t>
  </si>
  <si>
    <t>Positioning of load-bearing structure obstacles</t>
  </si>
  <si>
    <t>In what ways do components of the support structure impede the reallocability of the residence or unit?</t>
  </si>
  <si>
    <t>Important The fewer components of the supporting structure that are “in the way”, the greater the reallotability and reallocability of a building.</t>
  </si>
  <si>
    <t>The possibility of reallocating or rearranging the layout in the building is completely obstructed by obstacles that are difficult or impossible to remove. Units smaller than 75m2 are impossible.</t>
  </si>
  <si>
    <t>The possibility of reallocating or rearranging the layout in the building is severely impeded: units between 50-75m2 are possible.</t>
  </si>
  <si>
    <t>The possibility of reallocating or rearranging the layout in the building is limited: units between 25-50m2 are possible.</t>
  </si>
  <si>
    <t>The possibility of reallocating or rearranging the layout in the building is not hindered by obstacles that are difficult or impossible to remove.  Units of &lt; 25 m2 are possible</t>
  </si>
  <si>
    <t>1.	Areas are determined in GO.
2.	When determining the reallocability, it is assumed that  the load-bearing structure will not be modified.</t>
  </si>
  <si>
    <t xml:space="preserve">1. Possibility of layout according to a certain grid pattern (depth) of the column placement between the exterior façades
7. Does the building have a load-bearing façade and/or obstacles in the space? Goal flextool corresponds to this goal. </t>
  </si>
  <si>
    <t>D10</t>
  </si>
  <si>
    <t xml:space="preserve">Daylighting
</t>
  </si>
  <si>
    <t>To what extent are the spaces in the building provided with daylight?</t>
  </si>
  <si>
    <t xml:space="preserve">Important. The more daylight that enters the building’s spaces, the better to meet changing demands with regard to modifying the building’s layout and quality. </t>
  </si>
  <si>
    <t>Daylight equivalent &lt; 1/20</t>
  </si>
  <si>
    <t>Daylight equivalent 1/20-1/10</t>
  </si>
  <si>
    <t>Daylight equivalent 1/10-1/5</t>
  </si>
  <si>
    <t>Daylight equivalent &gt; 1/5</t>
  </si>
  <si>
    <t>1. The daylight equivalent has been determined in accordance with NEN 2057.</t>
  </si>
  <si>
    <t xml:space="preserve">11. Floor area of the façade zone with windows (7 metres deep) as a percentage of the total GFA. </t>
  </si>
  <si>
    <t>D11</t>
  </si>
  <si>
    <t>Presence and position of stairs and/or elevators, or expansion options for stairs/elevators</t>
  </si>
  <si>
    <t xml:space="preserve">For each core, are there enough stairs and elevators in the building, or is it possible to add new stairs and/or elevators and reuse existing ones? </t>
  </si>
  <si>
    <t xml:space="preserve">Important. As each of the building’s cores has stairs and/or elevators, the quality of the repurposing to other functions increases. </t>
  </si>
  <si>
    <t xml:space="preserve">0. There is only one decentralized stairwell and/or elevator shaft present in the building and no new stairs/elevators can be added without drastic and costly measures. </t>
  </si>
  <si>
    <t xml:space="preserve">1. There is a central stairwell and/or elevator shaft - and/or it is potentially possible to add new stairs/elevator and reuse existing ones </t>
  </si>
  <si>
    <t>2. The building is divided into wings with a central stairwell and/or elevator shaft - and/or it is possible to add new stairwells/elevators and reuse existing ones to a limited extent</t>
  </si>
  <si>
    <t>3. Each wing has a central stairwell and/or elevator shaft - and/or new stairs/elevators are relatively easy to add with the reuse of existing ones</t>
  </si>
  <si>
    <t xml:space="preserve">1. Stairwell and or elevator shaft in the central area which gives access to the different floors of the building. </t>
  </si>
  <si>
    <t>T</t>
  </si>
  <si>
    <t>6. Position of entrance and core (stairs and/or elevator) in the building</t>
  </si>
  <si>
    <t>D12</t>
  </si>
  <si>
    <t xml:space="preserve">Multifunctional use of building or home/unit over time
</t>
  </si>
  <si>
    <t>Without modifications, can the building or residence/unit accommodate multiple functional changes in the current situation?</t>
  </si>
  <si>
    <t>Important. As a building or residence/unit, unit can accommodate more changes in function, its adaptive capacity increases.</t>
  </si>
  <si>
    <t>Suitable only for one specific function (offices, or housing, or healthcare, or …).</t>
  </si>
  <si>
    <t>Suitable for two functions.</t>
  </si>
  <si>
    <t>Suitable for three functions.</t>
  </si>
  <si>
    <t>Suitable for more than three functions (suitable for housing, offices, healthcare and commerce).</t>
  </si>
  <si>
    <t xml:space="preserve">1.	With minimal interventions, the building or unit can be made suitable for different functions. 
2.	In the case of a building, the functions can also take place in various places in the building.
3.	The load-bearing structure is suitable for the various functions.  </t>
  </si>
  <si>
    <t>F</t>
  </si>
  <si>
    <t>D13</t>
  </si>
  <si>
    <t>Load-bearing floors</t>
  </si>
  <si>
    <t>How are the load-bearing floors composed?</t>
  </si>
  <si>
    <t>Important. As load-bearing floors are composed of prefabricated/demountable parts, the reallotability, reallocability and transformability increases. For example, wide slab floors allow for the retrofit of a shaft.</t>
  </si>
  <si>
    <t>Fully monolithic floors.</t>
  </si>
  <si>
    <t>Monolithic floors with demountable zones.</t>
  </si>
  <si>
    <t>Segmented floors with demountable finish layer.</t>
  </si>
  <si>
    <t>(Prefab) demountable floors.</t>
  </si>
  <si>
    <t>1.	Demountable zones mean that the floor takes into account that part of the flooring can be removed. 
2.	A demountable floor can be disassembled without any chopping and breaking.</t>
  </si>
  <si>
    <t>Concrete floors:
A concrete floor can also meet the answer options, but there are limitations. For example, a wide slab floor allows for the retrofit of a shaft.</t>
  </si>
  <si>
    <t>D14</t>
  </si>
  <si>
    <t>Possibility of layout through a free floor plan</t>
  </si>
  <si>
    <t>What is the size of the floor area which is not interrupted by elements of the load-bearing structure?</t>
  </si>
  <si>
    <t>Important. The more the load-bearing structure consists of independent modules, the greater the reallocability of part of the building.</t>
  </si>
  <si>
    <t>&lt; 29 m2 GO</t>
  </si>
  <si>
    <t>29 m2 GO – 65 m2 GO</t>
  </si>
  <si>
    <t>There are obstacles in the floor area, but the size &gt; 65 m2 GO</t>
  </si>
  <si>
    <t xml:space="preserve">There are no obstacles in the floor area </t>
  </si>
  <si>
    <t>1.	Toilet facilities, elevators and stairwells are not applicable for the determination.
2.	Floor areas should have a length to width ratio of no more than 1:3.</t>
  </si>
  <si>
    <t>A free floor area facilitates the reallocability of an object. Surface area ratios of 5.4 x 5.4 (29 m2) and 8.1 x 8.1 (65 m2) were used to determine the surface area. The reallocability decreases with other form ratios. A maximum ratio has therefore been included.</t>
  </si>
  <si>
    <t>5.2.3</t>
  </si>
  <si>
    <t xml:space="preserve">1. Possibility of layout according to a certain grid pattern size (depth) of the column placement between the exterior façades. Another grid pattern size is added here. </t>
  </si>
  <si>
    <t>A01</t>
  </si>
  <si>
    <t xml:space="preserve">Utility function: disposable part of the building, horizontally or  vertically, or disposable user unit.
</t>
  </si>
  <si>
    <t>Supplementary</t>
  </si>
  <si>
    <t xml:space="preserve">Disposable part of the building horizontally or  vertically, or disposable user unit.
</t>
  </si>
  <si>
    <t xml:space="preserve">Supplementary. When part of the building can be disposed of (rented out/demolished), the disposability increases. </t>
  </si>
  <si>
    <t>No.</t>
  </si>
  <si>
    <t>Disposal of part of a unit is possible to a very limited extent for some units in the building.</t>
  </si>
  <si>
    <t>Disposal of part of a unit is only possible in the case of a general reallocation of all/several units.</t>
  </si>
  <si>
    <t>The individual disposal of part of a unit is easy to achieve without affecting other units (application of zone margin systems).</t>
  </si>
  <si>
    <t xml:space="preserve">1. Easy disposal of a unit/residences is possible if they are connected to a central entrance or have their own entrance. </t>
  </si>
  <si>
    <t>Not applicable to dwellings.</t>
  </si>
  <si>
    <t>5.2.5</t>
  </si>
  <si>
    <t>A02</t>
  </si>
  <si>
    <t>Utility function: possibility of dividing the area into units of the size indicated.</t>
  </si>
  <si>
    <t>Supplementary. The more finely tuned the units can be distributed or moved, the more opportunities there are to customize the building.</t>
  </si>
  <si>
    <t>Supplementary. The more the building shape is equilateral/regular, the easier it is to reallocate and rearrange.</t>
  </si>
  <si>
    <t>Larger than 600 m2 GO</t>
  </si>
  <si>
    <t>Between 400 and 600 m2 GO</t>
  </si>
  <si>
    <t>Between 200 and 400 m2 GO</t>
  </si>
  <si>
    <t>Less than 200 m2 GO</t>
  </si>
  <si>
    <t>1.	80% of the total floor area (GO) meets the stated criterion.
2.	Units have their own entrance and can be used as a separate space.</t>
  </si>
  <si>
    <t>8. Possibility of dividing the area into units of the size indicated</t>
  </si>
  <si>
    <t>A03</t>
  </si>
  <si>
    <t>Utility function: user unit self-reliance provisions.</t>
  </si>
  <si>
    <t>To what extent is the unit self-reliant with regard to the number of facilities mentioned (pantry, meter cabinets, system, plumbing, kitchenette)?</t>
  </si>
  <si>
    <t>The more amenities per unit the more independent the unit can function in relation to other units.</t>
  </si>
  <si>
    <t>No facilities are available</t>
  </si>
  <si>
    <t>One to two facilities available</t>
  </si>
  <si>
    <t>Three to four facilities available</t>
  </si>
  <si>
    <t>Four or more amenities available</t>
  </si>
  <si>
    <t>1.	Amenities include pantry, meter cabinet, system, plumbing and kitchenette. 
2.	80% of the total floor area (GO) meets the stated criterion.</t>
  </si>
  <si>
    <t>9. Presence of facilities per unit: pantry, meter cabinet, plumbing.</t>
  </si>
  <si>
    <t>A04</t>
  </si>
  <si>
    <t>Utility function: openable windows</t>
  </si>
  <si>
    <t>Are there windows that can be opened per 3.6 running metres of façade per floor?</t>
  </si>
  <si>
    <t>The more windows that can be opened, the more rapid changes to the layout and quality are possible.</t>
  </si>
  <si>
    <t>None or &lt; 10%</t>
  </si>
  <si>
    <t>10 - 30%</t>
  </si>
  <si>
    <t>30 - 80%</t>
  </si>
  <si>
    <t>80 - 100%</t>
  </si>
  <si>
    <t>1. Percentage is determined: a/b x 100%
a.	The number of 3.6-metre façade sections with openable windows. b:	Total number of 3.6-metre façade sections.</t>
  </si>
  <si>
    <t>A05</t>
  </si>
  <si>
    <t>Demountable façade</t>
  </si>
  <si>
    <t>To what extent can façade components be dismantled during transformation?</t>
  </si>
  <si>
    <t>The reallotability, reallocatability, transformability, or reuse options are increased if façade components can be dismantled.</t>
  </si>
  <si>
    <t>Façade components are difficult or impossible to dismantle and must be completely dismantled and removed (&lt; 20%)</t>
  </si>
  <si>
    <t xml:space="preserve">A small part of the façade components can be dismantled (between 20 and 50%) </t>
  </si>
  <si>
    <t>A large part of the façade components can be dismantled (between 50 and 90%)</t>
  </si>
  <si>
    <t>All façade components can almost be completely dismantled &gt; 90%)</t>
  </si>
  <si>
    <t>1.	The percentage is determined on the basis of the linear metres of façade per storey.</t>
  </si>
  <si>
    <t>A06</t>
  </si>
  <si>
    <t xml:space="preserve">Façade (components) adaptability
</t>
  </si>
  <si>
    <t>To what extent can the existing components in the building façade be retained or adapted and used permanently during transformation?</t>
  </si>
  <si>
    <t>If the components can be retained and reused during transformation, it is better to meet requirements with regard to changing the quality of a building without unnecessary loss of existing materials/ façade components.</t>
  </si>
  <si>
    <t>Not possible without very drastic changes to/loss of other façade components or due to monument status.</t>
  </si>
  <si>
    <t>A limited possibility with extensive modifications to the other façade components.</t>
  </si>
  <si>
    <t>A limited possibility with simple modifications to the other façade components.</t>
  </si>
  <si>
    <t>Easily possible without radical changes to the other façade components.</t>
  </si>
  <si>
    <t>1. Major adjustments are understood to mean that chopping and breaking work are required to realize the adjustment. A simple adjustment does not require any chopping and breaking.</t>
  </si>
  <si>
    <t>A07</t>
  </si>
  <si>
    <t>Possibility of balconies on the façade</t>
  </si>
  <si>
    <t>To what extent can balconies or other outdoor spaces be attached to the façade?</t>
  </si>
  <si>
    <t>If balconies can easily be added, the building can easily be changed in terms of quality.</t>
  </si>
  <si>
    <t>Not possible without very extensive renovations or due to monument status.</t>
  </si>
  <si>
    <t>A limited possibility with major renovations.</t>
  </si>
  <si>
    <t>A limited possibility with simple renovations.</t>
  </si>
  <si>
    <t>Easily possible without extensive renovations.</t>
  </si>
  <si>
    <t xml:space="preserve">1.	Drastic renovations require adjustments to the load-bearing structure. </t>
  </si>
  <si>
    <t>Other outdoor spaces. These can be, for example, gardens or an indoor balcony.</t>
  </si>
  <si>
    <t>A08</t>
  </si>
  <si>
    <t>Vertical expansion: accessibility</t>
  </si>
  <si>
    <t>Can vertical building entrances (elevators and/or stairs) easily be extended?</t>
  </si>
  <si>
    <t>If the existing elevator shafts/stairwells can be easily expanded vertically with new building levels for functions, the options in repurposing and vertical expandability increase.</t>
  </si>
  <si>
    <t>Elevator shafts/stairwells cannot be vertically routed without drastic and costly measures.</t>
  </si>
  <si>
    <t>Elevator shafts/stairwells are difficult to extend.</t>
  </si>
  <si>
    <t>Elevator shafts/stairwells cannot be routed vertically without radical and costly measures.</t>
  </si>
  <si>
    <t xml:space="preserve">Elevator shafts/stairwells is long enough; an extension is not necessary. </t>
  </si>
  <si>
    <t>1. Drastic measures require adjustments to the load-bearing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</si>
</sst>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0"/>
      <color theme="1"/>
      <name val="Ubuntu"/>
      <family val="2"/>
    </font>
    <font>
      <sz val="10"/>
      <color theme="1"/>
      <name val="Ubuntu"/>
      <family val="2"/>
    </font>
    <font>
      <b/>
      <sz val="9"/>
      <color theme="0"/>
      <name val="Ubuntu"/>
      <family val="2"/>
    </font>
    <font>
      <sz val="9"/>
      <color theme="0"/>
      <name val="Ubuntu"/>
      <family val="2"/>
    </font>
    <font>
      <sz val="9"/>
      <color theme="1"/>
      <name val="Ubuntu"/>
      <family val="2"/>
    </font>
    <font>
      <sz val="9"/>
      <color theme="8" tint="-0.499984740745262"/>
      <name val="Ubuntu"/>
      <family val="2"/>
    </font>
    <font>
      <sz val="8"/>
      <name val="Ubuntu"/>
      <family val="2"/>
    </font>
    <font>
      <sz val="9"/>
      <color rgb="FFFF0000"/>
      <name val="Ubuntu"/>
      <family val="2"/>
    </font>
    <font>
      <sz val="9"/>
      <color rgb="FF684D00"/>
      <name val="Ubuntu"/>
      <family val="2"/>
    </font>
    <font>
      <b/>
      <sz val="9"/>
      <color theme="1"/>
      <name val="Ubuntu"/>
      <family val="2"/>
    </font>
    <font>
      <sz val="9"/>
      <color theme="9" tint="-0.499984740745262"/>
      <name val="Ubuntu"/>
      <family val="2"/>
    </font>
    <font>
      <sz val="9"/>
      <name val="Ubuntu"/>
      <family val="2"/>
    </font>
    <font>
      <sz val="9"/>
      <color theme="7" tint="-0.499984740745262"/>
      <name val="Ubuntu"/>
      <family val="2"/>
    </font>
    <font>
      <b/>
      <sz val="12"/>
      <color theme="0"/>
      <name val="Ubuntu"/>
      <family val="2"/>
    </font>
    <font>
      <sz val="12"/>
      <color theme="1"/>
      <name val="Ubuntu"/>
      <family val="2"/>
    </font>
    <font>
      <sz val="12"/>
      <color theme="0"/>
      <name val="Ubuntu"/>
      <family val="2"/>
    </font>
    <font>
      <sz val="9"/>
      <color theme="5" tint="-0.499984740745262"/>
      <name val="Ubuntu"/>
      <family val="2"/>
    </font>
    <font>
      <sz val="10"/>
      <color theme="0"/>
      <name val="Ubuntu"/>
      <family val="2"/>
    </font>
    <font>
      <sz val="12"/>
      <color rgb="FFFF0000"/>
      <name val="Ubuntu"/>
      <family val="2"/>
    </font>
    <font>
      <b/>
      <sz val="9"/>
      <color rgb="FFFF0000"/>
      <name val="Ubuntu"/>
      <family val="2"/>
    </font>
    <font>
      <sz val="7"/>
      <color theme="0"/>
      <name val="Ubuntu"/>
      <family val="2"/>
    </font>
    <font>
      <sz val="8"/>
      <name val="Arial"/>
      <family val="2"/>
    </font>
    <font>
      <b/>
      <sz val="8"/>
      <color theme="0"/>
      <name val="Arial"/>
      <family val="2"/>
    </font>
    <font>
      <sz val="8"/>
      <color theme="0"/>
      <name val="Arial"/>
      <family val="2"/>
    </font>
    <font>
      <b/>
      <sz val="11"/>
      <color theme="0"/>
      <name val="Arial"/>
      <family val="2"/>
    </font>
    <font>
      <sz val="8"/>
      <color theme="0"/>
      <name val="Ubuntu"/>
      <family val="2"/>
    </font>
    <font>
      <b/>
      <sz val="10"/>
      <color theme="0"/>
      <name val="Ubuntu"/>
      <family val="2"/>
    </font>
    <font>
      <b/>
      <sz val="8"/>
      <color rgb="FF000000"/>
      <name val="Arial"/>
      <family val="2"/>
    </font>
    <font>
      <sz val="8"/>
      <color rgb="FF000000"/>
      <name val="Arial"/>
      <family val="2"/>
    </font>
  </fonts>
  <fills count="23">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FF6FB"/>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9FBF7"/>
        <bgColor indexed="64"/>
      </patternFill>
    </fill>
    <fill>
      <patternFill patternType="solid">
        <fgColor rgb="FF990000"/>
        <bgColor indexed="64"/>
      </patternFill>
    </fill>
    <fill>
      <patternFill patternType="solid">
        <fgColor theme="9"/>
        <bgColor indexed="64"/>
      </patternFill>
    </fill>
    <fill>
      <patternFill patternType="solid">
        <fgColor theme="8" tint="0.59999389629810485"/>
        <bgColor indexed="64"/>
      </patternFill>
    </fill>
    <fill>
      <patternFill patternType="solid">
        <fgColor theme="8"/>
        <bgColor indexed="64"/>
      </patternFill>
    </fill>
    <fill>
      <patternFill patternType="solid">
        <fgColor rgb="FFFF0000"/>
        <bgColor indexed="64"/>
      </patternFill>
    </fill>
    <fill>
      <patternFill patternType="solid">
        <fgColor theme="7" tint="0.59999389629810485"/>
        <bgColor indexed="64"/>
      </patternFill>
    </fill>
  </fills>
  <borders count="140">
    <border>
      <left/>
      <right/>
      <top/>
      <bottom/>
      <diagonal/>
    </border>
    <border>
      <left/>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24994659260841701"/>
      </left>
      <right/>
      <top/>
      <bottom/>
      <diagonal/>
    </border>
    <border>
      <left style="medium">
        <color theme="5" tint="-0.499984740745262"/>
      </left>
      <right style="medium">
        <color theme="5"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theme="5" tint="-0.499984740745262"/>
      </right>
      <top/>
      <bottom/>
      <diagonal/>
    </border>
    <border>
      <left style="thin">
        <color theme="8" tint="-0.24994659260841701"/>
      </left>
      <right style="thin">
        <color theme="8" tint="-0.24994659260841701"/>
      </right>
      <top/>
      <bottom/>
      <diagonal/>
    </border>
    <border>
      <left style="thin">
        <color theme="8" tint="-0.24994659260841701"/>
      </left>
      <right style="thin">
        <color theme="9" tint="0.59996337778862885"/>
      </right>
      <top/>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9" tint="-0.499984740745262"/>
      </left>
      <right style="hair">
        <color theme="9" tint="-0.499984740745262"/>
      </right>
      <top/>
      <bottom style="thin">
        <color indexed="64"/>
      </bottom>
      <diagonal/>
    </border>
    <border>
      <left style="hair">
        <color theme="9" tint="-0.499984740745262"/>
      </left>
      <right style="hair">
        <color theme="9" tint="-0.499984740745262"/>
      </right>
      <top/>
      <bottom style="thin">
        <color indexed="64"/>
      </bottom>
      <diagonal/>
    </border>
    <border>
      <left style="hair">
        <color theme="9" tint="-0.499984740745262"/>
      </left>
      <right style="thin">
        <color theme="9" tint="-0.499984740745262"/>
      </right>
      <top/>
      <bottom style="thin">
        <color indexed="64"/>
      </bottom>
      <diagonal/>
    </border>
    <border>
      <left style="thin">
        <color theme="9" tint="-0.499984740745262"/>
      </left>
      <right style="hair">
        <color theme="9" tint="-0.499984740745262"/>
      </right>
      <top style="thin">
        <color indexed="64"/>
      </top>
      <bottom style="thin">
        <color indexed="64"/>
      </bottom>
      <diagonal/>
    </border>
    <border>
      <left style="hair">
        <color theme="9" tint="-0.499984740745262"/>
      </left>
      <right style="hair">
        <color theme="9" tint="-0.499984740745262"/>
      </right>
      <top style="thin">
        <color indexed="64"/>
      </top>
      <bottom style="thin">
        <color indexed="64"/>
      </bottom>
      <diagonal/>
    </border>
    <border>
      <left style="hair">
        <color theme="9" tint="-0.499984740745262"/>
      </left>
      <right style="thin">
        <color theme="9" tint="-0.499984740745262"/>
      </right>
      <top style="thin">
        <color indexed="64"/>
      </top>
      <bottom style="thin">
        <color indexed="64"/>
      </bottom>
      <diagonal/>
    </border>
    <border>
      <left style="thin">
        <color theme="9" tint="-0.499984740745262"/>
      </left>
      <right style="hair">
        <color theme="9" tint="-0.499984740745262"/>
      </right>
      <top/>
      <bottom style="hair">
        <color indexed="64"/>
      </bottom>
      <diagonal/>
    </border>
    <border>
      <left style="hair">
        <color theme="9" tint="-0.499984740745262"/>
      </left>
      <right style="hair">
        <color theme="9" tint="-0.499984740745262"/>
      </right>
      <top/>
      <bottom style="hair">
        <color indexed="64"/>
      </bottom>
      <diagonal/>
    </border>
    <border>
      <left style="hair">
        <color theme="9" tint="-0.499984740745262"/>
      </left>
      <right style="thin">
        <color theme="9" tint="-0.499984740745262"/>
      </right>
      <top/>
      <bottom style="hair">
        <color indexed="64"/>
      </bottom>
      <diagonal/>
    </border>
    <border>
      <left style="thin">
        <color theme="9" tint="-0.499984740745262"/>
      </left>
      <right style="hair">
        <color theme="9" tint="-0.499984740745262"/>
      </right>
      <top/>
      <bottom/>
      <diagonal/>
    </border>
    <border>
      <left style="hair">
        <color theme="9" tint="-0.499984740745262"/>
      </left>
      <right style="hair">
        <color theme="9" tint="-0.499984740745262"/>
      </right>
      <top/>
      <bottom/>
      <diagonal/>
    </border>
    <border>
      <left style="hair">
        <color theme="9" tint="-0.499984740745262"/>
      </left>
      <right style="thin">
        <color theme="9" tint="-0.499984740745262"/>
      </right>
      <top/>
      <bottom/>
      <diagonal/>
    </border>
    <border>
      <left style="hair">
        <color theme="9" tint="-0.499984740745262"/>
      </left>
      <right style="hair">
        <color theme="9" tint="-0.499984740745262"/>
      </right>
      <top style="thin">
        <color indexed="64"/>
      </top>
      <bottom style="hair">
        <color indexed="64"/>
      </bottom>
      <diagonal/>
    </border>
    <border>
      <left style="hair">
        <color theme="9" tint="-0.499984740745262"/>
      </left>
      <right style="thin">
        <color theme="9" tint="-0.499984740745262"/>
      </right>
      <top style="thin">
        <color indexed="64"/>
      </top>
      <bottom style="hair">
        <color indexed="64"/>
      </bottom>
      <diagonal/>
    </border>
    <border>
      <left style="thin">
        <color theme="9" tint="-0.499984740745262"/>
      </left>
      <right style="hair">
        <color theme="9" tint="-0.499984740745262"/>
      </right>
      <top style="hair">
        <color indexed="64"/>
      </top>
      <bottom style="hair">
        <color indexed="64"/>
      </bottom>
      <diagonal/>
    </border>
    <border>
      <left style="hair">
        <color theme="9" tint="-0.499984740745262"/>
      </left>
      <right style="hair">
        <color theme="9" tint="-0.499984740745262"/>
      </right>
      <top style="hair">
        <color indexed="64"/>
      </top>
      <bottom style="hair">
        <color indexed="64"/>
      </bottom>
      <diagonal/>
    </border>
    <border>
      <left style="hair">
        <color theme="9" tint="-0.499984740745262"/>
      </left>
      <right style="thin">
        <color theme="9" tint="-0.499984740745262"/>
      </right>
      <top style="hair">
        <color indexed="64"/>
      </top>
      <bottom style="hair">
        <color indexed="64"/>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style="thin">
        <color theme="8" tint="-0.499984740745262"/>
      </left>
      <right/>
      <top/>
      <bottom style="thin">
        <color theme="8" tint="0.59996337778862885"/>
      </bottom>
      <diagonal/>
    </border>
    <border>
      <left/>
      <right/>
      <top/>
      <bottom style="thin">
        <color theme="8" tint="0.59996337778862885"/>
      </bottom>
      <diagonal/>
    </border>
    <border>
      <left style="thin">
        <color theme="8" tint="-0.24994659260841701"/>
      </left>
      <right style="thin">
        <color theme="8" tint="-0.24994659260841701"/>
      </right>
      <top/>
      <bottom style="thin">
        <color theme="8" tint="0.59996337778862885"/>
      </bottom>
      <diagonal/>
    </border>
    <border>
      <left style="thin">
        <color theme="8" tint="-0.499984740745262"/>
      </left>
      <right/>
      <top style="thin">
        <color theme="8" tint="0.59996337778862885"/>
      </top>
      <bottom style="thin">
        <color theme="8" tint="0.59996337778862885"/>
      </bottom>
      <diagonal/>
    </border>
    <border>
      <left/>
      <right/>
      <top style="thin">
        <color theme="8" tint="0.59996337778862885"/>
      </top>
      <bottom style="thin">
        <color theme="8" tint="0.59996337778862885"/>
      </bottom>
      <diagonal/>
    </border>
    <border>
      <left style="thin">
        <color theme="8" tint="-0.499984740745262"/>
      </left>
      <right/>
      <top style="thin">
        <color theme="8" tint="0.59996337778862885"/>
      </top>
      <bottom/>
      <diagonal/>
    </border>
    <border>
      <left/>
      <right/>
      <top style="thin">
        <color theme="8" tint="0.59996337778862885"/>
      </top>
      <bottom/>
      <diagonal/>
    </border>
    <border>
      <left style="thin">
        <color theme="8" tint="-0.24994659260841701"/>
      </left>
      <right style="thin">
        <color theme="8" tint="-0.24994659260841701"/>
      </right>
      <top style="thin">
        <color theme="8" tint="0.59996337778862885"/>
      </top>
      <bottom/>
      <diagonal/>
    </border>
    <border>
      <left style="thin">
        <color theme="8" tint="-0.24994659260841701"/>
      </left>
      <right style="thin">
        <color theme="9" tint="0.59996337778862885"/>
      </right>
      <top/>
      <bottom style="thin">
        <color theme="9" tint="0.59996337778862885"/>
      </bottom>
      <diagonal/>
    </border>
    <border>
      <left style="thin">
        <color theme="8" tint="-0.24994659260841701"/>
      </left>
      <right style="thin">
        <color theme="9" tint="0.59996337778862885"/>
      </right>
      <top style="thin">
        <color theme="9" tint="0.59996337778862885"/>
      </top>
      <bottom style="thin">
        <color theme="9" tint="0.59996337778862885"/>
      </bottom>
      <diagonal/>
    </border>
    <border>
      <left style="thin">
        <color theme="8" tint="-0.24994659260841701"/>
      </left>
      <right style="thin">
        <color theme="9" tint="0.59996337778862885"/>
      </right>
      <top style="thin">
        <color theme="9" tint="0.59996337778862885"/>
      </top>
      <bottom/>
      <diagonal/>
    </border>
    <border>
      <left style="medium">
        <color theme="5" tint="-0.499984740745262"/>
      </left>
      <right style="medium">
        <color theme="5" tint="-0.499984740745262"/>
      </right>
      <top/>
      <bottom style="thin">
        <color theme="5" tint="0.59996337778862885"/>
      </bottom>
      <diagonal/>
    </border>
    <border>
      <left style="medium">
        <color theme="5" tint="-0.499984740745262"/>
      </left>
      <right style="medium">
        <color theme="5" tint="-0.499984740745262"/>
      </right>
      <top style="thin">
        <color theme="5" tint="0.59996337778862885"/>
      </top>
      <bottom style="thin">
        <color theme="5" tint="0.59996337778862885"/>
      </bottom>
      <diagonal/>
    </border>
    <border>
      <left style="medium">
        <color theme="5" tint="-0.499984740745262"/>
      </left>
      <right style="medium">
        <color theme="5" tint="-0.499984740745262"/>
      </right>
      <top style="thin">
        <color theme="5" tint="0.59996337778862885"/>
      </top>
      <bottom/>
      <diagonal/>
    </border>
    <border>
      <left style="thin">
        <color theme="8" tint="-0.499984740745262"/>
      </left>
      <right/>
      <top/>
      <bottom style="thin">
        <color theme="7" tint="0.79998168889431442"/>
      </bottom>
      <diagonal/>
    </border>
    <border>
      <left/>
      <right/>
      <top/>
      <bottom style="thin">
        <color theme="7" tint="0.79998168889431442"/>
      </bottom>
      <diagonal/>
    </border>
    <border>
      <left style="thin">
        <color theme="8" tint="-0.499984740745262"/>
      </left>
      <right/>
      <top style="thin">
        <color theme="7" tint="0.79998168889431442"/>
      </top>
      <bottom style="thin">
        <color theme="7" tint="0.79998168889431442"/>
      </bottom>
      <diagonal/>
    </border>
    <border>
      <left/>
      <right/>
      <top style="thin">
        <color theme="7" tint="0.79998168889431442"/>
      </top>
      <bottom style="thin">
        <color theme="7" tint="0.79998168889431442"/>
      </bottom>
      <diagonal/>
    </border>
    <border>
      <left/>
      <right style="thin">
        <color theme="7" tint="0.39994506668294322"/>
      </right>
      <top style="thin">
        <color theme="7" tint="0.79998168889431442"/>
      </top>
      <bottom style="thin">
        <color theme="7" tint="-0.499984740745262"/>
      </bottom>
      <diagonal/>
    </border>
    <border>
      <left style="thin">
        <color theme="8" tint="-0.499984740745262"/>
      </left>
      <right/>
      <top style="thin">
        <color theme="7" tint="-0.499984740745262"/>
      </top>
      <bottom style="thin">
        <color theme="7" tint="0.79998168889431442"/>
      </bottom>
      <diagonal/>
    </border>
    <border>
      <left/>
      <right/>
      <top style="thin">
        <color theme="7" tint="-0.499984740745262"/>
      </top>
      <bottom style="thin">
        <color theme="7" tint="0.79998168889431442"/>
      </bottom>
      <diagonal/>
    </border>
    <border>
      <left style="thin">
        <color theme="8" tint="-0.499984740745262"/>
      </left>
      <right/>
      <top style="thin">
        <color theme="7" tint="0.79998168889431442"/>
      </top>
      <bottom style="thin">
        <color theme="8" tint="-0.499984740745262"/>
      </bottom>
      <diagonal/>
    </border>
    <border>
      <left/>
      <right/>
      <top style="thin">
        <color theme="7" tint="0.79998168889431442"/>
      </top>
      <bottom style="thin">
        <color theme="8" tint="-0.499984740745262"/>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medium">
        <color theme="5" tint="-0.499984740745262"/>
      </right>
      <top style="thin">
        <color theme="7" tint="0.79998168889431442"/>
      </top>
      <bottom style="thin">
        <color theme="7" tint="0.79998168889431442"/>
      </bottom>
      <diagonal/>
    </border>
    <border>
      <left style="thin">
        <color theme="7" tint="0.39994506668294322"/>
      </left>
      <right style="thin">
        <color theme="7" tint="0.79998168889431442"/>
      </right>
      <top style="thin">
        <color theme="7" tint="0.79998168889431442"/>
      </top>
      <bottom/>
      <diagonal/>
    </border>
    <border>
      <left style="thin">
        <color theme="8" tint="-0.499984740745262"/>
      </left>
      <right/>
      <top style="thin">
        <color theme="7" tint="0.79998168889431442"/>
      </top>
      <bottom style="thin">
        <color theme="7" tint="-0.499984740745262"/>
      </bottom>
      <diagonal/>
    </border>
    <border>
      <left/>
      <right/>
      <top style="thin">
        <color theme="7" tint="0.79998168889431442"/>
      </top>
      <bottom style="thin">
        <color theme="7" tint="-0.499984740745262"/>
      </bottom>
      <diagonal/>
    </border>
    <border>
      <left style="thin">
        <color theme="7" tint="0.79998168889431442"/>
      </left>
      <right style="thin">
        <color theme="7" tint="0.79998168889431442"/>
      </right>
      <top style="thin">
        <color theme="7" tint="0.79998168889431442"/>
      </top>
      <bottom style="thin">
        <color theme="7" tint="-0.24994659260841701"/>
      </bottom>
      <diagonal/>
    </border>
    <border>
      <left style="thin">
        <color theme="7" tint="0.79998168889431442"/>
      </left>
      <right style="medium">
        <color theme="5" tint="-0.499984740745262"/>
      </right>
      <top style="thin">
        <color theme="7" tint="0.79998168889431442"/>
      </top>
      <bottom style="thin">
        <color theme="7" tint="-0.24994659260841701"/>
      </bottom>
      <diagonal/>
    </border>
    <border>
      <left style="thin">
        <color theme="7" tint="0.79998168889431442"/>
      </left>
      <right style="medium">
        <color theme="5" tint="-0.499984740745262"/>
      </right>
      <top/>
      <bottom/>
      <diagonal/>
    </border>
    <border>
      <left style="medium">
        <color theme="5" tint="-0.499984740745262"/>
      </left>
      <right style="medium">
        <color theme="5" tint="-0.499984740745262"/>
      </right>
      <top style="thin">
        <color theme="5" tint="0.59996337778862885"/>
      </top>
      <bottom style="thin">
        <color theme="7" tint="-0.499984740745262"/>
      </bottom>
      <diagonal/>
    </border>
    <border>
      <left style="medium">
        <color theme="5" tint="-0.499984740745262"/>
      </left>
      <right style="medium">
        <color theme="5" tint="-0.499984740745262"/>
      </right>
      <top style="thin">
        <color theme="5" tint="-0.499984740745262"/>
      </top>
      <bottom style="thin">
        <color theme="5" tint="0.59996337778862885"/>
      </bottom>
      <diagonal/>
    </border>
    <border>
      <left/>
      <right style="thin">
        <color theme="8" tint="-0.499984740745262"/>
      </right>
      <top style="thin">
        <color theme="8" tint="-0.499984740745262"/>
      </top>
      <bottom/>
      <diagonal/>
    </border>
    <border>
      <left/>
      <right style="thin">
        <color theme="8" tint="-0.499984740745262"/>
      </right>
      <top/>
      <bottom/>
      <diagonal/>
    </border>
    <border>
      <left/>
      <right/>
      <top style="thin">
        <color theme="9" tint="0.79998168889431442"/>
      </top>
      <bottom style="thin">
        <color theme="9" tint="0.79998168889431442"/>
      </bottom>
      <diagonal/>
    </border>
    <border>
      <left style="thin">
        <color theme="9" tint="0.79995117038483843"/>
      </left>
      <right style="thin">
        <color theme="9" tint="0.79995117038483843"/>
      </right>
      <top style="thin">
        <color theme="9" tint="0.79995117038483843"/>
      </top>
      <bottom style="thin">
        <color theme="9" tint="0.79995117038483843"/>
      </bottom>
      <diagonal/>
    </border>
    <border>
      <left/>
      <right/>
      <top/>
      <bottom style="thin">
        <color theme="9" tint="0.79998168889431442"/>
      </bottom>
      <diagonal/>
    </border>
    <border>
      <left/>
      <right style="medium">
        <color theme="5" tint="-0.499984740745262"/>
      </right>
      <top style="thin">
        <color theme="8" tint="0.59996337778862885"/>
      </top>
      <bottom style="thin">
        <color theme="8" tint="0.59996337778862885"/>
      </bottom>
      <diagonal/>
    </border>
    <border>
      <left style="medium">
        <color theme="5" tint="-0.499984740745262"/>
      </left>
      <right style="medium">
        <color theme="5" tint="-0.499984740745262"/>
      </right>
      <top style="thin">
        <color theme="7" tint="-0.499984740745262"/>
      </top>
      <bottom/>
      <diagonal/>
    </border>
    <border>
      <left style="thin">
        <color theme="7" tint="0.79998168889431442"/>
      </left>
      <right style="thin">
        <color theme="7" tint="0.79998168889431442"/>
      </right>
      <top/>
      <bottom/>
      <diagonal/>
    </border>
    <border>
      <left style="thin">
        <color theme="9" tint="0.59996337778862885"/>
      </left>
      <right style="medium">
        <color theme="5" tint="-0.499984740745262"/>
      </right>
      <top/>
      <bottom/>
      <diagonal/>
    </border>
    <border>
      <left style="thin">
        <color theme="9" tint="0.59996337778862885"/>
      </left>
      <right/>
      <top/>
      <bottom/>
      <diagonal/>
    </border>
    <border>
      <left style="thin">
        <color theme="9" tint="0.59996337778862885"/>
      </left>
      <right/>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style="thin">
        <color theme="9" tint="0.59996337778862885"/>
      </left>
      <right style="medium">
        <color theme="5" tint="-0.499984740745262"/>
      </right>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medium">
        <color theme="5" tint="-0.499984740745262"/>
      </right>
      <top style="thin">
        <color theme="9" tint="0.59996337778862885"/>
      </top>
      <bottom/>
      <diagonal/>
    </border>
    <border>
      <left/>
      <right style="thin">
        <color theme="8" tint="-0.499984740745262"/>
      </right>
      <top/>
      <bottom style="thin">
        <color theme="8" tint="-0.499984740745262"/>
      </bottom>
      <diagonal/>
    </border>
    <border>
      <left/>
      <right style="thin">
        <color theme="8" tint="-0.499984740745262"/>
      </right>
      <top style="medium">
        <color theme="5" tint="-0.499984740745262"/>
      </top>
      <bottom style="thin">
        <color theme="8" tint="-0.499984740745262"/>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thin">
        <color theme="8" tint="0.59996337778862885"/>
      </top>
      <bottom style="thin">
        <color theme="9" tint="0.79998168889431442"/>
      </bottom>
      <diagonal/>
    </border>
    <border>
      <left/>
      <right style="medium">
        <color theme="5" tint="-0.499984740745262"/>
      </right>
      <top style="thin">
        <color theme="8" tint="0.59996337778862885"/>
      </top>
      <bottom style="thin">
        <color theme="9" tint="0.79998168889431442"/>
      </bottom>
      <diagonal/>
    </border>
    <border>
      <left/>
      <right style="medium">
        <color theme="5" tint="-0.499984740745262"/>
      </right>
      <top style="thin">
        <color theme="9" tint="0.79998168889431442"/>
      </top>
      <bottom style="thin">
        <color theme="9" tint="0.79998168889431442"/>
      </bottom>
      <diagonal/>
    </border>
    <border>
      <left/>
      <right/>
      <top style="thin">
        <color theme="9" tint="0.79998168889431442"/>
      </top>
      <bottom style="thin">
        <color theme="8" tint="0.59996337778862885"/>
      </bottom>
      <diagonal/>
    </border>
    <border>
      <left/>
      <right style="medium">
        <color theme="5" tint="-0.499984740745262"/>
      </right>
      <top style="thin">
        <color theme="9" tint="0.79998168889431442"/>
      </top>
      <bottom style="thin">
        <color theme="8" tint="0.59996337778862885"/>
      </bottom>
      <diagonal/>
    </border>
    <border>
      <left style="thin">
        <color theme="9" tint="0.59996337778862885"/>
      </left>
      <right style="thin">
        <color theme="9" tint="0.59996337778862885"/>
      </right>
      <top/>
      <bottom/>
      <diagonal/>
    </border>
    <border>
      <left/>
      <right style="thin">
        <color theme="9" tint="0.59996337778862885"/>
      </right>
      <top/>
      <bottom/>
      <diagonal/>
    </border>
    <border>
      <left style="thin">
        <color theme="9" tint="-0.499984740745262"/>
      </left>
      <right style="thin">
        <color theme="9" tint="0.59996337778862885"/>
      </right>
      <top style="thin">
        <color theme="9" tint="-0.499984740745262"/>
      </top>
      <bottom style="thin">
        <color theme="9" tint="-0.499984740745262"/>
      </bottom>
      <diagonal/>
    </border>
    <border>
      <left style="thin">
        <color theme="9" tint="0.59996337778862885"/>
      </left>
      <right style="thin">
        <color theme="9" tint="0.59996337778862885"/>
      </right>
      <top style="thin">
        <color theme="9" tint="-0.499984740745262"/>
      </top>
      <bottom style="thin">
        <color theme="9" tint="-0.499984740745262"/>
      </bottom>
      <diagonal/>
    </border>
    <border>
      <left style="thin">
        <color theme="9" tint="0.59996337778862885"/>
      </left>
      <right style="thin">
        <color theme="9" tint="-0.499984740745262"/>
      </right>
      <top style="thin">
        <color theme="9" tint="-0.499984740745262"/>
      </top>
      <bottom style="thin">
        <color theme="9" tint="-0.499984740745262"/>
      </bottom>
      <diagonal/>
    </border>
    <border>
      <left style="thin">
        <color theme="7" tint="0.39994506668294322"/>
      </left>
      <right style="thin">
        <color theme="7" tint="0.59996337778862885"/>
      </right>
      <top/>
      <bottom style="thin">
        <color theme="7" tint="0.59996337778862885"/>
      </bottom>
      <diagonal/>
    </border>
    <border>
      <left style="thin">
        <color theme="8" tint="-0.499984740745262"/>
      </left>
      <right/>
      <top style="thin">
        <color theme="7" tint="0.79998168889431442"/>
      </top>
      <bottom/>
      <diagonal/>
    </border>
    <border>
      <left/>
      <right/>
      <top style="thin">
        <color theme="7" tint="0.79998168889431442"/>
      </top>
      <bottom/>
      <diagonal/>
    </border>
    <border>
      <left/>
      <right style="thin">
        <color theme="7" tint="0.39994506668294322"/>
      </right>
      <top style="thin">
        <color theme="7" tint="0.79998168889431442"/>
      </top>
      <bottom/>
      <diagonal/>
    </border>
    <border>
      <left style="thin">
        <color theme="7" tint="0.39994506668294322"/>
      </left>
      <right style="thin">
        <color theme="7" tint="0.79998168889431442"/>
      </right>
      <top style="thin">
        <color theme="7" tint="-0.499984740745262"/>
      </top>
      <bottom style="thin">
        <color theme="7" tint="0.79998168889431442"/>
      </bottom>
      <diagonal/>
    </border>
    <border>
      <left style="thin">
        <color theme="7" tint="0.79998168889431442"/>
      </left>
      <right style="thin">
        <color theme="7" tint="0.79998168889431442"/>
      </right>
      <top style="thin">
        <color theme="7" tint="-0.499984740745262"/>
      </top>
      <bottom style="thin">
        <color theme="7" tint="0.79998168889431442"/>
      </bottom>
      <diagonal/>
    </border>
    <border>
      <left style="thin">
        <color theme="7" tint="0.79998168889431442"/>
      </left>
      <right style="medium">
        <color theme="5" tint="-0.499984740745262"/>
      </right>
      <top style="thin">
        <color theme="7" tint="-0.499984740745262"/>
      </top>
      <bottom style="thin">
        <color theme="7" tint="0.79998168889431442"/>
      </bottom>
      <diagonal/>
    </border>
    <border>
      <left style="medium">
        <color theme="5" tint="-0.499984740745262"/>
      </left>
      <right style="medium">
        <color theme="5" tint="-0.499984740745262"/>
      </right>
      <top style="thin">
        <color theme="7" tint="-0.499984740745262"/>
      </top>
      <bottom style="thin">
        <color theme="5" tint="0.59996337778862885"/>
      </bottom>
      <diagonal/>
    </border>
    <border>
      <left style="thin">
        <color theme="7" tint="0.39994506668294322"/>
      </left>
      <right style="thin">
        <color theme="7" tint="0.59996337778862885"/>
      </right>
      <top style="thin">
        <color theme="7" tint="-0.24994659260841701"/>
      </top>
      <bottom style="thin">
        <color theme="7" tint="0.39991454817346722"/>
      </bottom>
      <diagonal/>
    </border>
    <border>
      <left style="thin">
        <color theme="7" tint="0.39994506668294322"/>
      </left>
      <right style="medium">
        <color theme="5" tint="-0.499984740745262"/>
      </right>
      <top style="thin">
        <color theme="7" tint="-0.24994659260841701"/>
      </top>
      <bottom style="thin">
        <color theme="7" tint="0.39991454817346722"/>
      </bottom>
      <diagonal/>
    </border>
    <border>
      <left style="thin">
        <color theme="7" tint="0.39994506668294322"/>
      </left>
      <right style="thin">
        <color theme="7" tint="0.59996337778862885"/>
      </right>
      <top style="thin">
        <color theme="7" tint="0.39991454817346722"/>
      </top>
      <bottom style="thin">
        <color theme="7" tint="0.39991454817346722"/>
      </bottom>
      <diagonal/>
    </border>
    <border>
      <left style="thin">
        <color theme="7" tint="0.39994506668294322"/>
      </left>
      <right style="medium">
        <color theme="5" tint="-0.499984740745262"/>
      </right>
      <top style="thin">
        <color theme="7" tint="0.39991454817346722"/>
      </top>
      <bottom style="thin">
        <color theme="7" tint="0.39991454817346722"/>
      </bottom>
      <diagonal/>
    </border>
    <border>
      <left style="thin">
        <color theme="7" tint="0.39994506668294322"/>
      </left>
      <right style="thin">
        <color theme="7" tint="0.59996337778862885"/>
      </right>
      <top style="thin">
        <color theme="7" tint="0.39991454817346722"/>
      </top>
      <bottom style="thin">
        <color theme="7" tint="0.59996337778862885"/>
      </bottom>
      <diagonal/>
    </border>
    <border>
      <left style="thin">
        <color theme="7" tint="0.39994506668294322"/>
      </left>
      <right style="medium">
        <color theme="5" tint="-0.499984740745262"/>
      </right>
      <top style="thin">
        <color theme="7" tint="0.39991454817346722"/>
      </top>
      <bottom style="thin">
        <color theme="7" tint="0.59996337778862885"/>
      </bottom>
      <diagonal/>
    </border>
    <border>
      <left/>
      <right style="thin">
        <color theme="9" tint="-0.499984740745262"/>
      </right>
      <top style="thin">
        <color theme="9" tint="-0.499984740745262"/>
      </top>
      <bottom/>
      <diagonal/>
    </border>
    <border>
      <left/>
      <right/>
      <top style="thin">
        <color theme="9" tint="-0.499984740745262"/>
      </top>
      <bottom/>
      <diagonal/>
    </border>
    <border>
      <left style="thin">
        <color indexed="64"/>
      </left>
      <right style="thin">
        <color theme="9" tint="-0.499984740745262"/>
      </right>
      <top/>
      <bottom style="thin">
        <color indexed="64"/>
      </bottom>
      <diagonal/>
    </border>
    <border>
      <left style="thin">
        <color indexed="64"/>
      </left>
      <right style="thin">
        <color theme="9" tint="-0.499984740745262"/>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9" tint="-0.499984740745262"/>
      </left>
      <right style="hair">
        <color theme="9" tint="-0.499984740745262"/>
      </right>
      <top style="thin">
        <color indexed="64"/>
      </top>
      <bottom style="hair">
        <color indexed="64"/>
      </bottom>
      <diagonal/>
    </border>
    <border>
      <left style="thin">
        <color theme="9" tint="-0.499984740745262"/>
      </left>
      <right/>
      <top style="thin">
        <color theme="9" tint="-0.499984740745262"/>
      </top>
      <bottom/>
      <diagonal/>
    </border>
    <border>
      <left style="thin">
        <color theme="9" tint="-0.499984740745262"/>
      </left>
      <right/>
      <top/>
      <bottom style="thin">
        <color indexed="64"/>
      </bottom>
      <diagonal/>
    </border>
    <border>
      <left/>
      <right style="thin">
        <color theme="9" tint="-0.499984740745262"/>
      </right>
      <top/>
      <bottom style="thin">
        <color indexed="64"/>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right style="medium">
        <color theme="5" tint="-0.499984740745262"/>
      </right>
      <top/>
      <bottom style="thin">
        <color theme="9" tint="0.79998168889431442"/>
      </bottom>
      <diagonal/>
    </border>
  </borders>
  <cellStyleXfs count="2">
    <xf numFmtId="0" fontId="0" fillId="0" borderId="0"/>
    <xf numFmtId="9" fontId="1" fillId="0" borderId="0" applyFont="0" applyFill="0" applyBorder="0" applyAlignment="0" applyProtection="0"/>
  </cellStyleXfs>
  <cellXfs count="377">
    <xf numFmtId="0" fontId="0" fillId="0" borderId="0" xfId="0"/>
    <xf numFmtId="0" fontId="10" fillId="3" borderId="78" xfId="0" applyFont="1" applyFill="1" applyBorder="1" applyAlignment="1" applyProtection="1">
      <alignment vertical="center"/>
      <protection locked="0"/>
    </xf>
    <xf numFmtId="9" fontId="2" fillId="21" borderId="93" xfId="1" applyFont="1" applyFill="1" applyBorder="1" applyAlignment="1" applyProtection="1">
      <alignment horizontal="center" vertical="center"/>
    </xf>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vertical="center"/>
    </xf>
    <xf numFmtId="9" fontId="4" fillId="0" borderId="0" xfId="1" applyFont="1" applyAlignment="1" applyProtection="1">
      <alignment horizontal="center" vertical="center"/>
    </xf>
    <xf numFmtId="0" fontId="4" fillId="0" borderId="0" xfId="0" applyFont="1" applyBorder="1" applyProtection="1"/>
    <xf numFmtId="9" fontId="3" fillId="2" borderId="6" xfId="1" applyFont="1" applyFill="1" applyBorder="1" applyAlignment="1" applyProtection="1">
      <alignment horizontal="center" vertical="center"/>
    </xf>
    <xf numFmtId="0" fontId="2" fillId="14" borderId="2" xfId="0" applyFont="1" applyFill="1" applyBorder="1" applyAlignment="1" applyProtection="1">
      <alignment horizontal="left" vertical="center"/>
    </xf>
    <xf numFmtId="9" fontId="3" fillId="14" borderId="1" xfId="1" applyFont="1" applyFill="1" applyBorder="1" applyAlignment="1" applyProtection="1">
      <alignment vertical="center"/>
    </xf>
    <xf numFmtId="9" fontId="3" fillId="14" borderId="3" xfId="1" applyFont="1" applyFill="1" applyBorder="1" applyAlignment="1" applyProtection="1">
      <alignment horizontal="center" vertical="center"/>
    </xf>
    <xf numFmtId="0" fontId="3" fillId="14" borderId="2" xfId="0" applyFont="1" applyFill="1" applyBorder="1" applyAlignment="1" applyProtection="1">
      <alignment horizontal="left" vertical="center"/>
    </xf>
    <xf numFmtId="9" fontId="3" fillId="18" borderId="0" xfId="1" applyFont="1" applyFill="1" applyBorder="1" applyAlignment="1" applyProtection="1">
      <alignment horizontal="center" vertical="center"/>
    </xf>
    <xf numFmtId="9" fontId="3" fillId="18" borderId="94" xfId="1" applyFont="1" applyFill="1" applyBorder="1" applyAlignment="1" applyProtection="1">
      <alignment horizontal="center" vertical="center"/>
    </xf>
    <xf numFmtId="0" fontId="3" fillId="14" borderId="5" xfId="0" applyFont="1" applyFill="1" applyBorder="1" applyAlignment="1" applyProtection="1">
      <alignment horizontal="left" vertical="center"/>
    </xf>
    <xf numFmtId="9" fontId="3" fillId="14" borderId="6" xfId="1" applyFont="1" applyFill="1" applyBorder="1" applyAlignment="1" applyProtection="1">
      <alignment horizontal="center" vertical="center"/>
    </xf>
    <xf numFmtId="9" fontId="10" fillId="18" borderId="0" xfId="1" applyFont="1" applyFill="1" applyBorder="1" applyAlignment="1" applyProtection="1">
      <alignment horizontal="center" vertical="center"/>
    </xf>
    <xf numFmtId="9" fontId="10" fillId="18" borderId="94" xfId="1" applyFont="1" applyFill="1" applyBorder="1" applyAlignment="1" applyProtection="1">
      <alignment horizontal="center" vertical="center"/>
    </xf>
    <xf numFmtId="0" fontId="10" fillId="0" borderId="0" xfId="0" applyFont="1" applyProtection="1"/>
    <xf numFmtId="0" fontId="10" fillId="0" borderId="0" xfId="0" applyFont="1" applyAlignment="1" applyProtection="1">
      <alignment horizontal="center"/>
    </xf>
    <xf numFmtId="9" fontId="10" fillId="15" borderId="0" xfId="1" applyFont="1" applyFill="1" applyBorder="1" applyAlignment="1" applyProtection="1">
      <alignment horizontal="center" vertical="center"/>
    </xf>
    <xf numFmtId="9" fontId="10" fillId="15" borderId="94" xfId="1" applyFont="1" applyFill="1" applyBorder="1" applyAlignment="1" applyProtection="1">
      <alignment horizontal="center" vertical="center"/>
    </xf>
    <xf numFmtId="9" fontId="10" fillId="7" borderId="0" xfId="1" applyFont="1" applyFill="1" applyBorder="1" applyAlignment="1" applyProtection="1">
      <alignment horizontal="center" vertical="center"/>
    </xf>
    <xf numFmtId="9" fontId="10" fillId="7" borderId="94" xfId="1" applyFont="1" applyFill="1" applyBorder="1" applyAlignment="1" applyProtection="1">
      <alignment horizontal="center" vertical="center"/>
    </xf>
    <xf numFmtId="9" fontId="10" fillId="18" borderId="101" xfId="1" applyFont="1" applyFill="1" applyBorder="1" applyAlignment="1" applyProtection="1">
      <alignment horizontal="center" vertical="center"/>
    </xf>
    <xf numFmtId="0" fontId="10" fillId="15" borderId="101" xfId="0" applyFont="1" applyFill="1" applyBorder="1" applyAlignment="1" applyProtection="1">
      <alignment horizontal="left" vertical="center"/>
    </xf>
    <xf numFmtId="9" fontId="10" fillId="15" borderId="101" xfId="1" applyFont="1" applyFill="1" applyBorder="1" applyAlignment="1" applyProtection="1">
      <alignment horizontal="center" vertical="center"/>
    </xf>
    <xf numFmtId="0" fontId="10" fillId="7" borderId="101" xfId="0" applyFont="1" applyFill="1" applyBorder="1" applyAlignment="1" applyProtection="1">
      <alignment horizontal="left" vertical="center"/>
    </xf>
    <xf numFmtId="9" fontId="10" fillId="7" borderId="101" xfId="1" applyFont="1" applyFill="1" applyBorder="1" applyAlignment="1" applyProtection="1">
      <alignment horizontal="center" vertical="center"/>
    </xf>
    <xf numFmtId="9" fontId="3" fillId="18" borderId="101" xfId="1" applyFont="1" applyFill="1" applyBorder="1" applyAlignment="1" applyProtection="1">
      <alignment horizontal="center" vertical="center"/>
    </xf>
    <xf numFmtId="0" fontId="10" fillId="18" borderId="84" xfId="0" applyFont="1" applyFill="1" applyBorder="1" applyAlignment="1" applyProtection="1">
      <alignment horizontal="left" vertical="center"/>
    </xf>
    <xf numFmtId="9" fontId="10" fillId="18" borderId="102" xfId="1" applyFont="1" applyFill="1" applyBorder="1" applyAlignment="1" applyProtection="1">
      <alignment horizontal="center" vertical="center"/>
    </xf>
    <xf numFmtId="9" fontId="10" fillId="3" borderId="103" xfId="1" applyFont="1" applyFill="1" applyBorder="1" applyAlignment="1" applyProtection="1">
      <alignment horizontal="center" vertical="center"/>
      <protection locked="0"/>
    </xf>
    <xf numFmtId="9" fontId="10" fillId="3" borderId="104" xfId="1" applyFont="1" applyFill="1" applyBorder="1" applyAlignment="1" applyProtection="1">
      <alignment horizontal="center" vertical="center"/>
      <protection locked="0"/>
    </xf>
    <xf numFmtId="9" fontId="10" fillId="3" borderId="105" xfId="1" applyFont="1" applyFill="1" applyBorder="1" applyAlignment="1" applyProtection="1">
      <alignment horizontal="center" vertical="center"/>
      <protection locked="0"/>
    </xf>
    <xf numFmtId="9" fontId="10" fillId="15" borderId="84" xfId="1" applyFont="1" applyFill="1" applyBorder="1" applyAlignment="1" applyProtection="1">
      <alignment horizontal="center" vertical="center"/>
    </xf>
    <xf numFmtId="9" fontId="10" fillId="15" borderId="102" xfId="1" applyFont="1" applyFill="1" applyBorder="1" applyAlignment="1" applyProtection="1">
      <alignment horizontal="center" vertical="center"/>
    </xf>
    <xf numFmtId="9" fontId="10" fillId="7" borderId="84" xfId="1" applyFont="1" applyFill="1" applyBorder="1" applyAlignment="1" applyProtection="1">
      <alignment horizontal="center" vertical="center"/>
    </xf>
    <xf numFmtId="9" fontId="10" fillId="7" borderId="103" xfId="1" applyFont="1" applyFill="1" applyBorder="1" applyAlignment="1" applyProtection="1">
      <alignment horizontal="center" vertical="center"/>
    </xf>
    <xf numFmtId="9" fontId="10" fillId="7" borderId="104" xfId="1" applyFont="1" applyFill="1" applyBorder="1" applyAlignment="1" applyProtection="1">
      <alignment horizontal="center" vertical="center"/>
    </xf>
    <xf numFmtId="9" fontId="10" fillId="7" borderId="105" xfId="1" applyFont="1" applyFill="1" applyBorder="1" applyAlignment="1" applyProtection="1">
      <alignment horizontal="center" vertical="center"/>
    </xf>
    <xf numFmtId="0" fontId="3" fillId="18" borderId="84" xfId="0" applyFont="1" applyFill="1" applyBorder="1" applyAlignment="1" applyProtection="1">
      <alignment horizontal="left" vertical="center"/>
    </xf>
    <xf numFmtId="9" fontId="3" fillId="18" borderId="102" xfId="1" applyFont="1" applyFill="1" applyBorder="1" applyAlignment="1" applyProtection="1">
      <alignment horizontal="center" vertical="center"/>
    </xf>
    <xf numFmtId="9" fontId="3" fillId="18" borderId="103" xfId="1" applyFont="1" applyFill="1" applyBorder="1" applyAlignment="1" applyProtection="1">
      <alignment horizontal="center" vertical="center"/>
    </xf>
    <xf numFmtId="9" fontId="3" fillId="18" borderId="104" xfId="1" applyFont="1" applyFill="1" applyBorder="1" applyAlignment="1" applyProtection="1">
      <alignment horizontal="center" vertical="center"/>
    </xf>
    <xf numFmtId="9" fontId="3" fillId="18" borderId="105" xfId="1" applyFont="1" applyFill="1" applyBorder="1" applyAlignment="1" applyProtection="1">
      <alignment horizontal="center" vertical="center"/>
    </xf>
    <xf numFmtId="9" fontId="10" fillId="7" borderId="95" xfId="1" applyFont="1" applyFill="1" applyBorder="1" applyAlignment="1" applyProtection="1">
      <alignment horizontal="center" vertical="center"/>
    </xf>
    <xf numFmtId="9" fontId="2" fillId="21" borderId="94" xfId="1" applyFont="1" applyFill="1" applyBorder="1" applyAlignment="1" applyProtection="1">
      <alignment horizontal="center" vertical="center"/>
    </xf>
    <xf numFmtId="9" fontId="10" fillId="15" borderId="103" xfId="1" applyFont="1" applyFill="1" applyBorder="1" applyAlignment="1" applyProtection="1">
      <alignment horizontal="center" vertical="center"/>
    </xf>
    <xf numFmtId="9" fontId="10" fillId="15" borderId="104" xfId="1" applyFont="1" applyFill="1" applyBorder="1" applyAlignment="1" applyProtection="1">
      <alignment horizontal="center" vertical="center"/>
    </xf>
    <xf numFmtId="9" fontId="10" fillId="15" borderId="105" xfId="1" applyFont="1" applyFill="1" applyBorder="1" applyAlignment="1" applyProtection="1">
      <alignment horizontal="center" vertical="center"/>
    </xf>
    <xf numFmtId="0" fontId="14" fillId="0" borderId="0" xfId="0" applyFont="1" applyProtection="1"/>
    <xf numFmtId="0" fontId="3" fillId="14" borderId="77" xfId="0" applyFont="1" applyFill="1" applyBorder="1" applyAlignment="1" applyProtection="1">
      <alignment horizontal="left" vertical="center"/>
    </xf>
    <xf numFmtId="2" fontId="3" fillId="14" borderId="0" xfId="1" applyNumberFormat="1" applyFont="1" applyFill="1" applyBorder="1" applyAlignment="1" applyProtection="1">
      <alignment horizontal="center" vertical="center"/>
    </xf>
    <xf numFmtId="2" fontId="3" fillId="14" borderId="76" xfId="1" applyNumberFormat="1" applyFont="1" applyFill="1" applyBorder="1" applyAlignment="1" applyProtection="1">
      <alignment horizontal="center" vertical="center"/>
    </xf>
    <xf numFmtId="0" fontId="3" fillId="14" borderId="79" xfId="0" applyFont="1" applyFill="1" applyBorder="1" applyAlignment="1" applyProtection="1">
      <alignment vertical="center"/>
    </xf>
    <xf numFmtId="0" fontId="3" fillId="14" borderId="0" xfId="0" applyFont="1" applyFill="1" applyBorder="1" applyAlignment="1" applyProtection="1">
      <alignment vertical="center"/>
    </xf>
    <xf numFmtId="0" fontId="3" fillId="14" borderId="0" xfId="0" applyFont="1" applyFill="1" applyBorder="1" applyAlignment="1" applyProtection="1">
      <alignment horizontal="left" vertical="center"/>
    </xf>
    <xf numFmtId="9" fontId="3" fillId="14" borderId="0" xfId="1" applyFont="1" applyFill="1" applyBorder="1" applyAlignment="1" applyProtection="1">
      <alignment horizontal="right" vertical="center"/>
    </xf>
    <xf numFmtId="1" fontId="3" fillId="14" borderId="0" xfId="1" applyNumberFormat="1" applyFont="1" applyFill="1" applyBorder="1" applyAlignment="1" applyProtection="1">
      <alignment horizontal="center" vertical="center"/>
    </xf>
    <xf numFmtId="1" fontId="3" fillId="14" borderId="76" xfId="1" applyNumberFormat="1" applyFont="1" applyFill="1" applyBorder="1" applyAlignment="1" applyProtection="1">
      <alignment horizontal="center" vertical="center"/>
    </xf>
    <xf numFmtId="0" fontId="3" fillId="13" borderId="59" xfId="0" applyFont="1" applyFill="1" applyBorder="1" applyAlignment="1" applyProtection="1">
      <alignment horizontal="left" vertical="center"/>
    </xf>
    <xf numFmtId="9" fontId="3" fillId="13" borderId="59" xfId="1" applyFont="1" applyFill="1" applyBorder="1" applyAlignment="1" applyProtection="1">
      <alignment horizontal="right" vertical="center" indent="1"/>
    </xf>
    <xf numFmtId="9" fontId="3" fillId="17" borderId="65" xfId="1" applyFont="1" applyFill="1" applyBorder="1" applyAlignment="1" applyProtection="1">
      <alignment horizontal="center" vertical="center"/>
    </xf>
    <xf numFmtId="9" fontId="11" fillId="12" borderId="65" xfId="1" applyFont="1" applyFill="1" applyBorder="1" applyAlignment="1" applyProtection="1">
      <alignment horizontal="center" vertical="center"/>
    </xf>
    <xf numFmtId="9" fontId="11" fillId="15" borderId="65" xfId="1" applyFont="1" applyFill="1" applyBorder="1" applyAlignment="1" applyProtection="1">
      <alignment horizontal="center" vertical="center"/>
    </xf>
    <xf numFmtId="2" fontId="11" fillId="18" borderId="66" xfId="1" applyNumberFormat="1" applyFont="1" applyFill="1" applyBorder="1" applyAlignment="1" applyProtection="1">
      <alignment horizontal="center" vertical="center"/>
    </xf>
    <xf numFmtId="2" fontId="3" fillId="6" borderId="54" xfId="1"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9" fontId="3" fillId="13" borderId="0" xfId="1" applyFont="1" applyFill="1" applyBorder="1" applyAlignment="1" applyProtection="1">
      <alignment horizontal="right" vertical="center" indent="1"/>
    </xf>
    <xf numFmtId="1" fontId="3" fillId="13" borderId="82" xfId="1" applyNumberFormat="1" applyFont="1" applyFill="1" applyBorder="1" applyAlignment="1" applyProtection="1">
      <alignment horizontal="center" vertical="center"/>
    </xf>
    <xf numFmtId="1" fontId="3" fillId="13" borderId="72" xfId="1" applyNumberFormat="1" applyFont="1" applyFill="1" applyBorder="1" applyAlignment="1" applyProtection="1">
      <alignment horizontal="center" vertical="center"/>
    </xf>
    <xf numFmtId="1" fontId="3" fillId="6" borderId="8" xfId="1" applyNumberFormat="1" applyFont="1" applyFill="1" applyBorder="1" applyAlignment="1" applyProtection="1">
      <alignment horizontal="center" vertical="center"/>
    </xf>
    <xf numFmtId="0" fontId="7" fillId="22" borderId="69" xfId="0" applyFont="1" applyFill="1" applyBorder="1" applyAlignment="1" applyProtection="1">
      <alignment horizontal="left" vertical="center"/>
    </xf>
    <xf numFmtId="0" fontId="7" fillId="22" borderId="69" xfId="0" applyFont="1" applyFill="1" applyBorder="1" applyAlignment="1" applyProtection="1">
      <alignment horizontal="left" vertical="center" wrapText="1"/>
    </xf>
    <xf numFmtId="9" fontId="7" fillId="22" borderId="60" xfId="1" quotePrefix="1" applyFont="1" applyFill="1" applyBorder="1" applyAlignment="1" applyProtection="1">
      <alignment horizontal="right" vertical="center"/>
    </xf>
    <xf numFmtId="1" fontId="12" fillId="22" borderId="70" xfId="1" applyNumberFormat="1" applyFont="1" applyFill="1" applyBorder="1" applyAlignment="1" applyProtection="1">
      <alignment horizontal="left" vertical="center" indent="1"/>
    </xf>
    <xf numFmtId="1" fontId="12" fillId="22" borderId="70" xfId="1" applyNumberFormat="1" applyFont="1" applyFill="1" applyBorder="1" applyAlignment="1" applyProtection="1">
      <alignment horizontal="center" vertical="center"/>
    </xf>
    <xf numFmtId="1" fontId="12" fillId="22" borderId="71" xfId="1" applyNumberFormat="1" applyFont="1" applyFill="1" applyBorder="1" applyAlignment="1" applyProtection="1">
      <alignment horizontal="center" vertical="center"/>
    </xf>
    <xf numFmtId="1" fontId="12" fillId="8" borderId="55" xfId="1" applyNumberFormat="1" applyFont="1" applyFill="1" applyBorder="1" applyAlignment="1" applyProtection="1">
      <alignment horizontal="center" vertical="center"/>
    </xf>
    <xf numFmtId="0" fontId="8" fillId="22" borderId="57" xfId="0" applyFont="1" applyFill="1" applyBorder="1" applyAlignment="1" applyProtection="1">
      <alignment horizontal="left" vertical="center"/>
    </xf>
    <xf numFmtId="1" fontId="7" fillId="22" borderId="57" xfId="1" applyNumberFormat="1" applyFont="1" applyFill="1" applyBorder="1" applyAlignment="1" applyProtection="1">
      <alignment horizontal="right" vertical="center"/>
    </xf>
    <xf numFmtId="1" fontId="8" fillId="8" borderId="74" xfId="1" applyNumberFormat="1" applyFont="1" applyFill="1" applyBorder="1" applyAlignment="1" applyProtection="1">
      <alignment horizontal="center" vertical="center"/>
    </xf>
    <xf numFmtId="0" fontId="8" fillId="22" borderId="59" xfId="0" applyFont="1" applyFill="1" applyBorder="1" applyAlignment="1" applyProtection="1">
      <alignment horizontal="left" vertical="center"/>
    </xf>
    <xf numFmtId="1" fontId="7" fillId="22" borderId="59" xfId="1" applyNumberFormat="1" applyFont="1" applyFill="1" applyBorder="1" applyAlignment="1" applyProtection="1">
      <alignment horizontal="right" vertical="center"/>
    </xf>
    <xf numFmtId="1" fontId="8" fillId="8" borderId="54" xfId="1" applyNumberFormat="1" applyFont="1" applyFill="1" applyBorder="1" applyAlignment="1" applyProtection="1">
      <alignment horizontal="center" vertical="center"/>
    </xf>
    <xf numFmtId="1" fontId="8" fillId="8" borderId="55" xfId="1" applyNumberFormat="1" applyFont="1" applyFill="1" applyBorder="1" applyAlignment="1" applyProtection="1">
      <alignment horizontal="center" vertical="center"/>
    </xf>
    <xf numFmtId="0" fontId="8" fillId="22" borderId="62" xfId="0" applyFont="1" applyFill="1" applyBorder="1" applyAlignment="1" applyProtection="1">
      <alignment horizontal="left" vertical="center"/>
    </xf>
    <xf numFmtId="1" fontId="8" fillId="22" borderId="59" xfId="1" applyNumberFormat="1" applyFont="1" applyFill="1" applyBorder="1" applyAlignment="1" applyProtection="1">
      <alignment horizontal="right" vertical="center"/>
    </xf>
    <xf numFmtId="0" fontId="8" fillId="22" borderId="64" xfId="0" applyFont="1" applyFill="1" applyBorder="1" applyAlignment="1" applyProtection="1">
      <alignment horizontal="left" vertical="center"/>
    </xf>
    <xf numFmtId="1" fontId="8" fillId="22" borderId="64" xfId="1" applyNumberFormat="1" applyFont="1" applyFill="1" applyBorder="1" applyAlignment="1" applyProtection="1">
      <alignment horizontal="right" vertical="center"/>
    </xf>
    <xf numFmtId="1" fontId="8" fillId="8" borderId="73" xfId="1" applyNumberFormat="1" applyFont="1" applyFill="1" applyBorder="1" applyAlignment="1" applyProtection="1">
      <alignment horizontal="center" vertical="center"/>
    </xf>
    <xf numFmtId="0" fontId="2" fillId="2" borderId="46" xfId="0" applyFont="1" applyFill="1" applyBorder="1" applyAlignment="1" applyProtection="1">
      <alignment horizontal="left" vertical="center"/>
    </xf>
    <xf numFmtId="9" fontId="2" fillId="2" borderId="46" xfId="1" applyFont="1" applyFill="1" applyBorder="1" applyAlignment="1" applyProtection="1">
      <alignment vertical="center"/>
    </xf>
    <xf numFmtId="9" fontId="3" fillId="2" borderId="80" xfId="1" applyFont="1" applyFill="1" applyBorder="1" applyAlignment="1" applyProtection="1">
      <alignment horizontal="right" vertical="center" indent="1"/>
    </xf>
    <xf numFmtId="9" fontId="2" fillId="10" borderId="54" xfId="1" applyFont="1" applyFill="1" applyBorder="1" applyAlignment="1" applyProtection="1">
      <alignment horizontal="center" vertical="center"/>
    </xf>
    <xf numFmtId="0" fontId="3" fillId="2" borderId="46"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2" fontId="3" fillId="2" borderId="0" xfId="0" applyNumberFormat="1"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2" fontId="2" fillId="6" borderId="8" xfId="1" applyNumberFormat="1"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164" fontId="3" fillId="4" borderId="17" xfId="0" applyNumberFormat="1" applyFont="1" applyFill="1" applyBorder="1" applyAlignment="1" applyProtection="1">
      <alignment horizontal="center" vertical="center"/>
    </xf>
    <xf numFmtId="2" fontId="2" fillId="10" borderId="8" xfId="1" applyNumberFormat="1" applyFont="1" applyFill="1" applyBorder="1" applyAlignment="1" applyProtection="1">
      <alignment horizontal="center" vertical="center"/>
    </xf>
    <xf numFmtId="9" fontId="3" fillId="14" borderId="18" xfId="1" applyFont="1" applyFill="1" applyBorder="1" applyAlignment="1" applyProtection="1">
      <alignment horizontal="center" vertical="center"/>
    </xf>
    <xf numFmtId="9" fontId="3" fillId="14" borderId="84" xfId="1" applyFont="1" applyFill="1" applyBorder="1" applyAlignment="1" applyProtection="1">
      <alignment horizontal="center" vertical="center"/>
    </xf>
    <xf numFmtId="9" fontId="3" fillId="14" borderId="83" xfId="1" applyFont="1" applyFill="1" applyBorder="1" applyAlignment="1" applyProtection="1">
      <alignment horizontal="center" vertical="center"/>
    </xf>
    <xf numFmtId="2" fontId="3" fillId="17" borderId="8" xfId="1" applyNumberFormat="1" applyFont="1" applyFill="1" applyBorder="1" applyAlignment="1" applyProtection="1">
      <alignment horizontal="center" vertical="center"/>
    </xf>
    <xf numFmtId="0" fontId="2" fillId="20" borderId="0" xfId="0" applyFont="1" applyFill="1" applyBorder="1" applyAlignment="1" applyProtection="1">
      <alignment horizontal="left" vertical="center"/>
    </xf>
    <xf numFmtId="0" fontId="5" fillId="20" borderId="0" xfId="0" applyFont="1" applyFill="1" applyBorder="1" applyAlignment="1" applyProtection="1">
      <alignment horizontal="left" vertical="center"/>
    </xf>
    <xf numFmtId="164" fontId="5" fillId="20" borderId="17" xfId="0" applyNumberFormat="1" applyFont="1" applyFill="1" applyBorder="1" applyAlignment="1" applyProtection="1">
      <alignment horizontal="center" vertical="center"/>
    </xf>
    <xf numFmtId="9" fontId="10" fillId="15" borderId="18" xfId="1" applyFont="1" applyFill="1" applyBorder="1" applyAlignment="1" applyProtection="1">
      <alignment horizontal="center" vertical="center"/>
    </xf>
    <xf numFmtId="9" fontId="10" fillId="15" borderId="83" xfId="1" applyFont="1" applyFill="1" applyBorder="1" applyAlignment="1" applyProtection="1">
      <alignment horizontal="center" vertical="center"/>
    </xf>
    <xf numFmtId="0" fontId="5" fillId="19" borderId="0" xfId="0" applyFont="1" applyFill="1" applyBorder="1" applyAlignment="1" applyProtection="1">
      <alignment horizontal="left" vertical="center"/>
    </xf>
    <xf numFmtId="164" fontId="5" fillId="19" borderId="17" xfId="0" applyNumberFormat="1" applyFont="1" applyFill="1" applyBorder="1" applyAlignment="1" applyProtection="1">
      <alignment horizontal="center" vertical="center"/>
    </xf>
    <xf numFmtId="9" fontId="10" fillId="7" borderId="18" xfId="1" applyFont="1" applyFill="1" applyBorder="1" applyAlignment="1" applyProtection="1">
      <alignment horizontal="center" vertical="center"/>
    </xf>
    <xf numFmtId="9" fontId="10" fillId="7" borderId="83" xfId="1" applyFont="1" applyFill="1" applyBorder="1" applyAlignment="1" applyProtection="1">
      <alignment horizontal="center" vertical="center"/>
    </xf>
    <xf numFmtId="0" fontId="5" fillId="9" borderId="43" xfId="0" applyFont="1" applyFill="1" applyBorder="1" applyAlignment="1" applyProtection="1">
      <alignment horizontal="left" vertical="center"/>
    </xf>
    <xf numFmtId="164" fontId="5" fillId="9" borderId="44" xfId="0" applyNumberFormat="1" applyFont="1" applyFill="1" applyBorder="1" applyAlignment="1" applyProtection="1">
      <alignment horizontal="center" vertical="center"/>
    </xf>
    <xf numFmtId="9" fontId="10" fillId="16" borderId="50" xfId="1" applyFont="1" applyFill="1" applyBorder="1" applyAlignment="1" applyProtection="1">
      <alignment horizontal="center" vertical="center"/>
    </xf>
    <xf numFmtId="9" fontId="10" fillId="16" borderId="85" xfId="1" applyFont="1" applyFill="1" applyBorder="1" applyAlignment="1" applyProtection="1">
      <alignment horizontal="center" vertical="center"/>
    </xf>
    <xf numFmtId="9" fontId="10" fillId="16" borderId="88" xfId="1" applyFont="1" applyFill="1" applyBorder="1" applyAlignment="1" applyProtection="1">
      <alignment horizontal="center" vertical="center"/>
    </xf>
    <xf numFmtId="0" fontId="5" fillId="9" borderId="46" xfId="0" applyFont="1" applyFill="1" applyBorder="1" applyAlignment="1" applyProtection="1">
      <alignment horizontal="left" vertical="center"/>
    </xf>
    <xf numFmtId="9" fontId="10" fillId="16" borderId="51" xfId="1" applyFont="1" applyFill="1" applyBorder="1" applyAlignment="1" applyProtection="1">
      <alignment horizontal="center" vertical="center"/>
    </xf>
    <xf numFmtId="9" fontId="10" fillId="16" borderId="86" xfId="1" applyFont="1" applyFill="1" applyBorder="1" applyAlignment="1" applyProtection="1">
      <alignment horizontal="center" vertical="center"/>
    </xf>
    <xf numFmtId="9" fontId="10" fillId="16" borderId="89" xfId="1" applyFont="1" applyFill="1" applyBorder="1" applyAlignment="1" applyProtection="1">
      <alignment horizontal="center" vertical="center"/>
    </xf>
    <xf numFmtId="0" fontId="5" fillId="9" borderId="48" xfId="0" applyFont="1" applyFill="1" applyBorder="1" applyAlignment="1" applyProtection="1">
      <alignment horizontal="left" vertical="center"/>
    </xf>
    <xf numFmtId="164" fontId="5" fillId="9" borderId="49" xfId="0" applyNumberFormat="1" applyFont="1" applyFill="1" applyBorder="1" applyAlignment="1" applyProtection="1">
      <alignment horizontal="center" vertical="center"/>
    </xf>
    <xf numFmtId="9" fontId="10" fillId="16" borderId="52" xfId="1" applyFont="1" applyFill="1" applyBorder="1" applyAlignment="1" applyProtection="1">
      <alignment horizontal="center" vertical="center"/>
    </xf>
    <xf numFmtId="9" fontId="10" fillId="16" borderId="87" xfId="1" applyFont="1" applyFill="1" applyBorder="1" applyAlignment="1" applyProtection="1">
      <alignment horizontal="center" vertical="center"/>
    </xf>
    <xf numFmtId="9" fontId="10" fillId="16" borderId="90" xfId="1" applyFont="1" applyFill="1" applyBorder="1" applyAlignment="1" applyProtection="1">
      <alignment horizontal="center" vertical="center"/>
    </xf>
    <xf numFmtId="0" fontId="5" fillId="9" borderId="48" xfId="0" applyFont="1" applyFill="1" applyBorder="1" applyAlignment="1" applyProtection="1">
      <alignment vertical="center"/>
    </xf>
    <xf numFmtId="9" fontId="5" fillId="16" borderId="52" xfId="1" applyFont="1" applyFill="1" applyBorder="1" applyAlignment="1" applyProtection="1">
      <alignment horizontal="center" vertical="center"/>
    </xf>
    <xf numFmtId="9" fontId="5" fillId="16" borderId="87" xfId="1" applyFont="1" applyFill="1" applyBorder="1" applyAlignment="1" applyProtection="1">
      <alignment horizontal="center" vertical="center"/>
    </xf>
    <xf numFmtId="9" fontId="5" fillId="16" borderId="90" xfId="1" applyFont="1" applyFill="1" applyBorder="1" applyAlignment="1" applyProtection="1">
      <alignment horizontal="center" vertical="center"/>
    </xf>
    <xf numFmtId="0" fontId="9" fillId="0" borderId="0" xfId="0" applyFont="1" applyProtection="1"/>
    <xf numFmtId="0" fontId="5" fillId="9" borderId="46" xfId="0" applyFont="1" applyFill="1" applyBorder="1" applyAlignment="1" applyProtection="1">
      <alignment vertical="center"/>
    </xf>
    <xf numFmtId="0" fontId="5" fillId="19" borderId="48" xfId="0" applyFont="1" applyFill="1" applyBorder="1" applyAlignment="1" applyProtection="1">
      <alignment horizontal="left" vertical="center"/>
    </xf>
    <xf numFmtId="164" fontId="5" fillId="19" borderId="49" xfId="0" applyNumberFormat="1" applyFont="1" applyFill="1" applyBorder="1" applyAlignment="1" applyProtection="1">
      <alignment horizontal="center" vertical="center"/>
    </xf>
    <xf numFmtId="9" fontId="4" fillId="0" borderId="0" xfId="0" applyNumberFormat="1" applyFont="1" applyBorder="1" applyProtection="1"/>
    <xf numFmtId="9" fontId="5" fillId="16" borderId="51" xfId="1" applyFont="1" applyFill="1" applyBorder="1" applyAlignment="1" applyProtection="1">
      <alignment horizontal="center" vertical="center"/>
    </xf>
    <xf numFmtId="9" fontId="5" fillId="16" borderId="86" xfId="1" applyFont="1" applyFill="1" applyBorder="1" applyAlignment="1" applyProtection="1">
      <alignment horizontal="center" vertical="center"/>
    </xf>
    <xf numFmtId="9" fontId="10" fillId="16" borderId="83" xfId="1"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2" fontId="3" fillId="2" borderId="6" xfId="0" applyNumberFormat="1" applyFont="1" applyFill="1" applyBorder="1" applyAlignment="1" applyProtection="1">
      <alignment horizontal="center" vertical="center"/>
    </xf>
    <xf numFmtId="9" fontId="3" fillId="2" borderId="92" xfId="1" applyFont="1" applyFill="1" applyBorder="1" applyAlignment="1" applyProtection="1">
      <alignment horizontal="center" vertical="center"/>
    </xf>
    <xf numFmtId="164" fontId="4" fillId="0" borderId="0" xfId="0" applyNumberFormat="1" applyFont="1" applyAlignment="1" applyProtection="1">
      <alignment horizontal="center" vertical="center"/>
    </xf>
    <xf numFmtId="9" fontId="4" fillId="0" borderId="0" xfId="1" applyFont="1" applyBorder="1" applyAlignment="1" applyProtection="1">
      <alignment horizontal="center" vertical="center"/>
    </xf>
    <xf numFmtId="2" fontId="4" fillId="0" borderId="0" xfId="1" applyNumberFormat="1" applyFont="1" applyBorder="1" applyAlignment="1" applyProtection="1">
      <alignment horizontal="center" vertical="center"/>
    </xf>
    <xf numFmtId="0" fontId="8" fillId="3" borderId="59" xfId="0" applyFont="1" applyFill="1" applyBorder="1" applyAlignment="1" applyProtection="1">
      <alignment horizontal="left" vertical="center"/>
      <protection locked="0"/>
    </xf>
    <xf numFmtId="0" fontId="3" fillId="3" borderId="0" xfId="0" applyFont="1" applyFill="1" applyBorder="1" applyAlignment="1" applyProtection="1">
      <alignment horizontal="center"/>
    </xf>
    <xf numFmtId="0" fontId="3" fillId="3" borderId="0" xfId="0" applyFont="1" applyFill="1" applyBorder="1" applyProtection="1"/>
    <xf numFmtId="0" fontId="14" fillId="0" borderId="0" xfId="0" applyFont="1" applyBorder="1" applyProtection="1"/>
    <xf numFmtId="0" fontId="13" fillId="3" borderId="0" xfId="0" applyFont="1" applyFill="1" applyBorder="1" applyAlignment="1" applyProtection="1">
      <alignment horizontal="center"/>
    </xf>
    <xf numFmtId="0" fontId="2" fillId="3" borderId="0" xfId="0" applyFont="1" applyFill="1" applyBorder="1" applyProtection="1"/>
    <xf numFmtId="0" fontId="2" fillId="3" borderId="0" xfId="0" applyFont="1" applyFill="1" applyBorder="1" applyAlignment="1" applyProtection="1"/>
    <xf numFmtId="0" fontId="15" fillId="3" borderId="0" xfId="0" applyFont="1" applyFill="1" applyBorder="1" applyAlignment="1" applyProtection="1">
      <alignment horizontal="center"/>
    </xf>
    <xf numFmtId="0" fontId="2" fillId="3" borderId="0" xfId="0" applyFont="1" applyFill="1" applyBorder="1" applyAlignment="1" applyProtection="1">
      <alignment horizontal="center"/>
    </xf>
    <xf numFmtId="0" fontId="9" fillId="0" borderId="0" xfId="0" applyFont="1" applyBorder="1" applyProtection="1"/>
    <xf numFmtId="2" fontId="16" fillId="11" borderId="8" xfId="1" applyNumberFormat="1" applyFont="1" applyFill="1" applyBorder="1" applyAlignment="1" applyProtection="1">
      <alignment horizontal="center" vertical="center"/>
    </xf>
    <xf numFmtId="2" fontId="16" fillId="12" borderId="8" xfId="1" applyNumberFormat="1" applyFont="1" applyFill="1" applyBorder="1" applyAlignment="1" applyProtection="1">
      <alignment horizontal="center" vertical="center"/>
    </xf>
    <xf numFmtId="2" fontId="16" fillId="8" borderId="53" xfId="1" applyNumberFormat="1" applyFont="1" applyFill="1" applyBorder="1" applyAlignment="1" applyProtection="1">
      <alignment horizontal="center" vertical="center"/>
    </xf>
    <xf numFmtId="2" fontId="16" fillId="8" borderId="54" xfId="1" applyNumberFormat="1" applyFont="1" applyFill="1" applyBorder="1" applyAlignment="1" applyProtection="1">
      <alignment horizontal="center" vertical="center"/>
    </xf>
    <xf numFmtId="2" fontId="16" fillId="8" borderId="55" xfId="1" applyNumberFormat="1" applyFont="1" applyFill="1" applyBorder="1" applyAlignment="1" applyProtection="1">
      <alignment horizontal="center" vertical="center"/>
    </xf>
    <xf numFmtId="2" fontId="16" fillId="8" borderId="8" xfId="1" applyNumberFormat="1" applyFont="1" applyFill="1" applyBorder="1" applyAlignment="1" applyProtection="1">
      <alignment horizontal="center" vertical="center"/>
    </xf>
    <xf numFmtId="9" fontId="8" fillId="22" borderId="67" xfId="1" applyFont="1" applyFill="1" applyBorder="1" applyAlignment="1" applyProtection="1">
      <alignment horizontal="center" vertical="center"/>
    </xf>
    <xf numFmtId="9" fontId="8" fillId="3" borderId="106" xfId="1" applyFont="1" applyFill="1" applyBorder="1" applyAlignment="1" applyProtection="1">
      <alignment horizontal="center" vertical="center"/>
      <protection locked="0"/>
    </xf>
    <xf numFmtId="1" fontId="8" fillId="8" borderId="53" xfId="1" applyNumberFormat="1" applyFont="1" applyFill="1" applyBorder="1" applyAlignment="1" applyProtection="1">
      <alignment horizontal="center" vertical="center"/>
    </xf>
    <xf numFmtId="0" fontId="8" fillId="22" borderId="108" xfId="0" applyFont="1" applyFill="1" applyBorder="1" applyAlignment="1" applyProtection="1">
      <alignment horizontal="left" vertical="center"/>
    </xf>
    <xf numFmtId="9" fontId="7" fillId="22" borderId="109" xfId="1" quotePrefix="1" applyFont="1" applyFill="1" applyBorder="1" applyAlignment="1" applyProtection="1">
      <alignment horizontal="right" vertical="center"/>
    </xf>
    <xf numFmtId="0" fontId="7" fillId="22" borderId="62" xfId="0" applyFont="1" applyFill="1" applyBorder="1" applyAlignment="1" applyProtection="1">
      <alignment horizontal="left" vertical="center"/>
    </xf>
    <xf numFmtId="9" fontId="7" fillId="22" borderId="62" xfId="1" quotePrefix="1" applyFont="1" applyFill="1" applyBorder="1" applyAlignment="1" applyProtection="1">
      <alignment horizontal="right" vertical="center"/>
    </xf>
    <xf numFmtId="9" fontId="8" fillId="22" borderId="110" xfId="1" applyFont="1" applyFill="1" applyBorder="1" applyAlignment="1" applyProtection="1">
      <alignment horizontal="center" vertical="center"/>
    </xf>
    <xf numFmtId="1" fontId="12" fillId="22" borderId="111" xfId="1" applyNumberFormat="1" applyFont="1" applyFill="1" applyBorder="1" applyAlignment="1" applyProtection="1">
      <alignment horizontal="left" vertical="center" indent="1"/>
    </xf>
    <xf numFmtId="1" fontId="3" fillId="22" borderId="111" xfId="1" applyNumberFormat="1" applyFont="1" applyFill="1" applyBorder="1" applyAlignment="1" applyProtection="1">
      <alignment horizontal="center" vertical="center"/>
    </xf>
    <xf numFmtId="1" fontId="3" fillId="22" borderId="112" xfId="1" applyNumberFormat="1" applyFont="1" applyFill="1" applyBorder="1" applyAlignment="1" applyProtection="1">
      <alignment horizontal="center" vertical="center"/>
    </xf>
    <xf numFmtId="1" fontId="12" fillId="8" borderId="113" xfId="1" applyNumberFormat="1" applyFont="1" applyFill="1" applyBorder="1" applyAlignment="1" applyProtection="1">
      <alignment horizontal="center" vertical="center"/>
    </xf>
    <xf numFmtId="0" fontId="18" fillId="0" borderId="0" xfId="0" applyFont="1" applyBorder="1" applyProtection="1"/>
    <xf numFmtId="0" fontId="7" fillId="0" borderId="0" xfId="0" applyFont="1" applyBorder="1" applyProtection="1"/>
    <xf numFmtId="0" fontId="19" fillId="0" borderId="0" xfId="0" applyFont="1" applyBorder="1" applyProtection="1"/>
    <xf numFmtId="2" fontId="17" fillId="17" borderId="54" xfId="0" applyNumberFormat="1" applyFont="1" applyFill="1" applyBorder="1" applyAlignment="1" applyProtection="1">
      <alignment horizontal="center" vertical="center"/>
    </xf>
    <xf numFmtId="9" fontId="8" fillId="3" borderId="114" xfId="1" applyFont="1" applyFill="1" applyBorder="1" applyAlignment="1" applyProtection="1">
      <alignment horizontal="center" vertical="center"/>
      <protection locked="0"/>
    </xf>
    <xf numFmtId="9" fontId="8" fillId="3" borderId="115" xfId="1" applyFont="1" applyFill="1" applyBorder="1" applyAlignment="1" applyProtection="1">
      <alignment horizontal="center" vertical="center"/>
      <protection locked="0"/>
    </xf>
    <xf numFmtId="9" fontId="8" fillId="3" borderId="116" xfId="1" applyFont="1" applyFill="1" applyBorder="1" applyAlignment="1" applyProtection="1">
      <alignment horizontal="center" vertical="center"/>
      <protection locked="0"/>
    </xf>
    <xf numFmtId="9" fontId="8" fillId="3" borderId="117" xfId="1" applyFont="1" applyFill="1" applyBorder="1" applyAlignment="1" applyProtection="1">
      <alignment horizontal="center" vertical="center"/>
      <protection locked="0"/>
    </xf>
    <xf numFmtId="9" fontId="8" fillId="3" borderId="118" xfId="1" applyFont="1" applyFill="1" applyBorder="1" applyAlignment="1" applyProtection="1">
      <alignment horizontal="center" vertical="center"/>
      <protection locked="0"/>
    </xf>
    <xf numFmtId="9" fontId="8" fillId="3" borderId="119" xfId="1" applyFont="1" applyFill="1" applyBorder="1" applyAlignment="1" applyProtection="1">
      <alignment horizontal="center" vertical="center"/>
      <protection locked="0"/>
    </xf>
    <xf numFmtId="9" fontId="20" fillId="14" borderId="3" xfId="1" applyFont="1" applyFill="1" applyBorder="1" applyAlignment="1" applyProtection="1">
      <alignment horizontal="center" vertical="center"/>
    </xf>
    <xf numFmtId="0" fontId="3" fillId="14" borderId="4" xfId="0" applyFont="1" applyFill="1" applyBorder="1" applyAlignment="1" applyProtection="1">
      <alignment horizontal="right" vertical="center" indent="1"/>
    </xf>
    <xf numFmtId="0" fontId="3" fillId="13" borderId="4" xfId="0" applyFont="1" applyFill="1" applyBorder="1" applyAlignment="1" applyProtection="1">
      <alignment horizontal="right" vertical="center" indent="1"/>
    </xf>
    <xf numFmtId="0" fontId="8" fillId="22" borderId="56" xfId="0" applyFont="1" applyFill="1" applyBorder="1" applyAlignment="1" applyProtection="1">
      <alignment horizontal="right" vertical="center" indent="1"/>
    </xf>
    <xf numFmtId="0" fontId="8" fillId="22" borderId="58" xfId="0" applyFont="1" applyFill="1" applyBorder="1" applyAlignment="1" applyProtection="1">
      <alignment horizontal="right" vertical="center" indent="1"/>
    </xf>
    <xf numFmtId="0" fontId="8" fillId="22" borderId="107" xfId="0" applyFont="1" applyFill="1" applyBorder="1" applyAlignment="1" applyProtection="1">
      <alignment horizontal="right" vertical="center" indent="1"/>
    </xf>
    <xf numFmtId="0" fontId="7" fillId="22" borderId="61" xfId="0" applyFont="1" applyFill="1" applyBorder="1" applyAlignment="1" applyProtection="1">
      <alignment horizontal="right" vertical="center" indent="1"/>
    </xf>
    <xf numFmtId="0" fontId="7" fillId="22" borderId="68" xfId="0" applyFont="1" applyFill="1" applyBorder="1" applyAlignment="1" applyProtection="1">
      <alignment horizontal="right" vertical="center" indent="1"/>
    </xf>
    <xf numFmtId="0" fontId="8" fillId="22" borderId="61" xfId="0" applyFont="1" applyFill="1" applyBorder="1" applyAlignment="1" applyProtection="1">
      <alignment horizontal="right" vertical="center" indent="1"/>
    </xf>
    <xf numFmtId="0" fontId="8" fillId="22" borderId="63" xfId="0" applyFont="1" applyFill="1" applyBorder="1" applyAlignment="1" applyProtection="1">
      <alignment horizontal="right" vertical="center" indent="1"/>
    </xf>
    <xf numFmtId="0" fontId="2" fillId="2" borderId="2" xfId="0" applyFont="1" applyFill="1" applyBorder="1" applyAlignment="1" applyProtection="1">
      <alignment horizontal="right" vertical="center" indent="1"/>
    </xf>
    <xf numFmtId="0" fontId="2" fillId="2" borderId="4" xfId="0" applyFont="1" applyFill="1" applyBorder="1" applyAlignment="1" applyProtection="1">
      <alignment horizontal="right" vertical="center" indent="1"/>
    </xf>
    <xf numFmtId="0" fontId="3" fillId="2" borderId="4" xfId="0" applyFont="1" applyFill="1" applyBorder="1" applyAlignment="1" applyProtection="1">
      <alignment horizontal="right" vertical="center" indent="1"/>
    </xf>
    <xf numFmtId="0" fontId="2" fillId="4" borderId="4" xfId="0" applyFont="1" applyFill="1" applyBorder="1" applyAlignment="1" applyProtection="1">
      <alignment horizontal="right" vertical="center" indent="1"/>
    </xf>
    <xf numFmtId="0" fontId="3" fillId="4" borderId="4" xfId="0" applyFont="1" applyFill="1" applyBorder="1" applyAlignment="1" applyProtection="1">
      <alignment horizontal="right" vertical="center" indent="1"/>
    </xf>
    <xf numFmtId="0" fontId="5" fillId="20" borderId="4" xfId="0" applyFont="1" applyFill="1" applyBorder="1" applyAlignment="1" applyProtection="1">
      <alignment horizontal="right" vertical="center" indent="1"/>
    </xf>
    <xf numFmtId="0" fontId="5" fillId="19" borderId="4" xfId="0" applyFont="1" applyFill="1" applyBorder="1" applyAlignment="1" applyProtection="1">
      <alignment horizontal="right" vertical="center" indent="1"/>
    </xf>
    <xf numFmtId="0" fontId="5" fillId="9" borderId="42" xfId="0" applyFont="1" applyFill="1" applyBorder="1" applyAlignment="1" applyProtection="1">
      <alignment horizontal="right" vertical="center" indent="1"/>
    </xf>
    <xf numFmtId="0" fontId="5" fillId="9" borderId="45" xfId="0" applyFont="1" applyFill="1" applyBorder="1" applyAlignment="1" applyProtection="1">
      <alignment horizontal="right" vertical="center" indent="1"/>
    </xf>
    <xf numFmtId="0" fontId="5" fillId="9" borderId="47" xfId="0" applyFont="1" applyFill="1" applyBorder="1" applyAlignment="1" applyProtection="1">
      <alignment horizontal="right" vertical="center" indent="1"/>
    </xf>
    <xf numFmtId="0" fontId="5" fillId="19" borderId="47" xfId="0" applyFont="1" applyFill="1" applyBorder="1" applyAlignment="1" applyProtection="1">
      <alignment horizontal="right" vertical="center" indent="1"/>
    </xf>
    <xf numFmtId="0" fontId="3" fillId="2" borderId="5" xfId="0" applyFont="1" applyFill="1" applyBorder="1" applyAlignment="1" applyProtection="1">
      <alignment horizontal="right" vertical="center" indent="1"/>
    </xf>
    <xf numFmtId="0" fontId="4" fillId="0" borderId="0" xfId="0" applyFont="1" applyAlignment="1" applyProtection="1">
      <alignment horizontal="right" vertical="center" indent="1"/>
    </xf>
    <xf numFmtId="0" fontId="3" fillId="0" borderId="0" xfId="0" applyFont="1" applyBorder="1" applyAlignment="1" applyProtection="1">
      <alignment horizontal="center"/>
    </xf>
    <xf numFmtId="0" fontId="3" fillId="0" borderId="0" xfId="0" applyFont="1" applyBorder="1" applyProtection="1"/>
    <xf numFmtId="0" fontId="15" fillId="0" borderId="0" xfId="0" applyFont="1" applyProtection="1"/>
    <xf numFmtId="0" fontId="15" fillId="0" borderId="0" xfId="0" applyFont="1" applyBorder="1" applyAlignment="1" applyProtection="1">
      <alignment horizontal="center"/>
    </xf>
    <xf numFmtId="0" fontId="15"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13" fillId="0" borderId="0" xfId="0" applyFont="1" applyProtection="1"/>
    <xf numFmtId="0" fontId="2" fillId="3" borderId="0" xfId="0" applyFont="1" applyFill="1" applyBorder="1" applyAlignment="1" applyProtection="1">
      <alignment horizontal="left"/>
    </xf>
    <xf numFmtId="0" fontId="13" fillId="3" borderId="0" xfId="0" applyFont="1" applyFill="1" applyBorder="1" applyProtection="1"/>
    <xf numFmtId="9" fontId="3" fillId="3" borderId="0" xfId="1" applyFont="1" applyFill="1" applyBorder="1" applyProtection="1"/>
    <xf numFmtId="9" fontId="3" fillId="0" borderId="0" xfId="0" applyNumberFormat="1" applyFont="1" applyBorder="1" applyProtection="1"/>
    <xf numFmtId="0" fontId="7" fillId="0" borderId="0" xfId="0" applyFont="1" applyProtection="1"/>
    <xf numFmtId="0" fontId="18" fillId="0" borderId="0" xfId="0" applyFont="1" applyProtection="1"/>
    <xf numFmtId="0" fontId="19" fillId="0" borderId="0" xfId="0" applyFont="1" applyProtection="1"/>
    <xf numFmtId="9" fontId="3" fillId="14" borderId="91" xfId="1" applyFont="1" applyFill="1" applyBorder="1" applyAlignment="1" applyProtection="1">
      <alignment horizontal="right" vertical="center"/>
    </xf>
    <xf numFmtId="0" fontId="21" fillId="0" borderId="20" xfId="0" applyFont="1" applyBorder="1" applyAlignment="1">
      <alignment horizontal="left"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1" fillId="0" borderId="23" xfId="0" applyFont="1" applyBorder="1" applyAlignment="1">
      <alignment horizontal="left" vertical="top" wrapText="1"/>
    </xf>
    <xf numFmtId="0" fontId="21" fillId="0" borderId="15" xfId="0" applyFont="1" applyBorder="1" applyAlignment="1">
      <alignment horizontal="lef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29" xfId="0" applyFont="1" applyBorder="1" applyAlignment="1">
      <alignment horizontal="left"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6" xfId="0" applyFont="1" applyBorder="1" applyAlignment="1">
      <alignment horizontal="left"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2" xfId="0" applyFont="1" applyBorder="1" applyAlignment="1">
      <alignment horizontal="left" vertical="top" wrapText="1"/>
    </xf>
    <xf numFmtId="0" fontId="21" fillId="0" borderId="34" xfId="0" applyFont="1" applyBorder="1" applyAlignment="1">
      <alignment horizontal="center" vertical="top" wrapText="1"/>
    </xf>
    <xf numFmtId="0" fontId="21" fillId="0" borderId="35" xfId="0" applyFont="1" applyBorder="1" applyAlignment="1">
      <alignment horizontal="center" vertical="top" wrapText="1"/>
    </xf>
    <xf numFmtId="0" fontId="21" fillId="0" borderId="34" xfId="0" applyFont="1" applyBorder="1" applyAlignment="1">
      <alignment horizontal="left" vertical="top" wrapText="1"/>
    </xf>
    <xf numFmtId="0" fontId="21" fillId="0" borderId="36" xfId="0" applyFont="1" applyBorder="1" applyAlignment="1">
      <alignment horizontal="center" vertical="top" wrapText="1"/>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21" fillId="0" borderId="37" xfId="0" applyFont="1" applyBorder="1" applyAlignment="1">
      <alignment horizontal="left"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21" fillId="0" borderId="40" xfId="0" applyFont="1" applyBorder="1" applyAlignment="1">
      <alignment horizontal="left" vertical="top" wrapText="1"/>
    </xf>
    <xf numFmtId="0" fontId="21" fillId="5" borderId="0" xfId="0" applyFont="1" applyFill="1" applyBorder="1" applyAlignment="1">
      <alignment horizontal="center" vertical="top"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center" vertical="top"/>
    </xf>
    <xf numFmtId="0" fontId="22" fillId="0" borderId="0" xfId="0" applyFont="1" applyAlignment="1">
      <alignment vertical="top"/>
    </xf>
    <xf numFmtId="0" fontId="23" fillId="5" borderId="19" xfId="0" applyFont="1" applyFill="1" applyBorder="1" applyAlignment="1">
      <alignment horizontal="center" vertical="top" wrapText="1"/>
    </xf>
    <xf numFmtId="0" fontId="23" fillId="0" borderId="0" xfId="0" applyFont="1" applyAlignment="1">
      <alignment vertical="top"/>
    </xf>
    <xf numFmtId="0" fontId="21" fillId="0" borderId="0" xfId="0" applyFont="1" applyBorder="1" applyAlignment="1">
      <alignment vertical="top"/>
    </xf>
    <xf numFmtId="0" fontId="23" fillId="18" borderId="21" xfId="0" applyFont="1" applyFill="1" applyBorder="1" applyAlignment="1">
      <alignment horizontal="left" vertical="center" wrapText="1"/>
    </xf>
    <xf numFmtId="0" fontId="23" fillId="18" borderId="25" xfId="0" applyFont="1" applyFill="1" applyBorder="1" applyAlignment="1">
      <alignment horizontal="center" vertical="center" wrapText="1"/>
    </xf>
    <xf numFmtId="0" fontId="23" fillId="18" borderId="26" xfId="0" applyFont="1" applyFill="1" applyBorder="1" applyAlignment="1">
      <alignment horizontal="center" vertical="center" wrapText="1"/>
    </xf>
    <xf numFmtId="0" fontId="23" fillId="18" borderId="27" xfId="0" applyFont="1" applyFill="1" applyBorder="1" applyAlignment="1">
      <alignment horizontal="center" vertical="center" wrapText="1"/>
    </xf>
    <xf numFmtId="0" fontId="23" fillId="18" borderId="26" xfId="0" applyFont="1" applyFill="1" applyBorder="1" applyAlignment="1">
      <alignment horizontal="left" vertical="center" wrapText="1"/>
    </xf>
    <xf numFmtId="0" fontId="23" fillId="0" borderId="0" xfId="0" applyFont="1" applyAlignment="1">
      <alignment vertical="center"/>
    </xf>
    <xf numFmtId="0" fontId="23" fillId="18" borderId="15" xfId="0" applyFont="1" applyFill="1" applyBorder="1" applyAlignment="1">
      <alignment horizontal="left" vertical="center" wrapText="1"/>
    </xf>
    <xf numFmtId="0" fontId="23" fillId="18" borderId="124" xfId="0" applyFont="1" applyFill="1" applyBorder="1" applyAlignment="1">
      <alignment horizontal="center" vertical="center" textRotation="90" wrapText="1"/>
    </xf>
    <xf numFmtId="0" fontId="23" fillId="18" borderId="125" xfId="0" applyFont="1" applyFill="1" applyBorder="1" applyAlignment="1">
      <alignment horizontal="center" vertical="center" textRotation="90" wrapText="1"/>
    </xf>
    <xf numFmtId="0" fontId="23" fillId="18" borderId="126" xfId="0" applyFont="1" applyFill="1" applyBorder="1" applyAlignment="1">
      <alignment horizontal="center" vertical="center" textRotation="90" wrapText="1"/>
    </xf>
    <xf numFmtId="0" fontId="21" fillId="0" borderId="124"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125"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21" fillId="0" borderId="128" xfId="0" applyFont="1" applyFill="1" applyBorder="1" applyAlignment="1">
      <alignment horizontal="center" vertical="center" wrapText="1"/>
    </xf>
    <xf numFmtId="0" fontId="21" fillId="0" borderId="129" xfId="0" applyFont="1" applyFill="1" applyBorder="1" applyAlignment="1">
      <alignment horizontal="center" vertical="center" wrapText="1"/>
    </xf>
    <xf numFmtId="0" fontId="23" fillId="18" borderId="124" xfId="0" applyFont="1" applyFill="1" applyBorder="1" applyAlignment="1">
      <alignment horizontal="left" vertical="center" wrapText="1"/>
    </xf>
    <xf numFmtId="0" fontId="23" fillId="18" borderId="126" xfId="0" applyFont="1" applyFill="1" applyBorder="1" applyAlignment="1">
      <alignment horizontal="left" vertical="center" wrapText="1"/>
    </xf>
    <xf numFmtId="0" fontId="23" fillId="18" borderId="125" xfId="0" applyFont="1" applyFill="1" applyBorder="1" applyAlignment="1">
      <alignment horizontal="left" vertical="center" wrapText="1"/>
    </xf>
    <xf numFmtId="0" fontId="21" fillId="0" borderId="127" xfId="0" applyFont="1" applyFill="1" applyBorder="1" applyAlignment="1">
      <alignment horizontal="center" vertical="top" wrapText="1"/>
    </xf>
    <xf numFmtId="0" fontId="21" fillId="0" borderId="128" xfId="0" applyFont="1" applyFill="1" applyBorder="1" applyAlignment="1">
      <alignment horizontal="center" vertical="top" wrapText="1"/>
    </xf>
    <xf numFmtId="0" fontId="21" fillId="0" borderId="129" xfId="0" applyFont="1" applyBorder="1" applyAlignment="1">
      <alignment horizontal="left" vertical="top" wrapText="1"/>
    </xf>
    <xf numFmtId="0" fontId="21" fillId="0" borderId="124" xfId="0" applyFont="1" applyFill="1" applyBorder="1" applyAlignment="1">
      <alignment horizontal="center" vertical="top" wrapText="1"/>
    </xf>
    <xf numFmtId="0" fontId="21" fillId="0" borderId="126" xfId="0" applyFont="1" applyFill="1" applyBorder="1" applyAlignment="1">
      <alignment horizontal="center" vertical="top" wrapText="1"/>
    </xf>
    <xf numFmtId="0" fontId="21" fillId="0" borderId="125" xfId="0" applyFont="1" applyBorder="1" applyAlignment="1">
      <alignment horizontal="left" vertical="top" wrapText="1"/>
    </xf>
    <xf numFmtId="0" fontId="21" fillId="0" borderId="25"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33" xfId="0" applyFont="1" applyBorder="1" applyAlignment="1">
      <alignment horizontal="left" vertical="top" wrapText="1"/>
    </xf>
    <xf numFmtId="0" fontId="21" fillId="0" borderId="130"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22" xfId="0" applyFont="1" applyBorder="1" applyAlignment="1">
      <alignment horizontal="left" vertical="top" wrapText="1"/>
    </xf>
    <xf numFmtId="0" fontId="21" fillId="0" borderId="24" xfId="0" applyFont="1" applyBorder="1" applyAlignment="1">
      <alignment horizontal="left" vertical="top" wrapText="1"/>
    </xf>
    <xf numFmtId="0" fontId="21" fillId="0" borderId="39" xfId="0" applyFont="1" applyBorder="1" applyAlignment="1">
      <alignment horizontal="left" vertical="top" wrapText="1"/>
    </xf>
    <xf numFmtId="0" fontId="21" fillId="0" borderId="41" xfId="0" applyFont="1" applyBorder="1" applyAlignment="1">
      <alignment horizontal="left" vertical="top" wrapText="1"/>
    </xf>
    <xf numFmtId="0" fontId="23" fillId="5" borderId="0" xfId="0" applyFont="1" applyFill="1" applyBorder="1" applyAlignment="1">
      <alignment horizontal="center" vertical="center" wrapText="1"/>
    </xf>
    <xf numFmtId="0" fontId="22" fillId="5" borderId="10" xfId="0" applyFont="1" applyFill="1" applyBorder="1" applyAlignment="1">
      <alignment vertical="top" wrapText="1"/>
    </xf>
    <xf numFmtId="0" fontId="22" fillId="5" borderId="11" xfId="0" applyFont="1" applyFill="1" applyBorder="1" applyAlignment="1">
      <alignment vertical="top" wrapText="1"/>
    </xf>
    <xf numFmtId="0" fontId="23" fillId="5" borderId="13" xfId="0" applyFont="1" applyFill="1" applyBorder="1" applyAlignment="1">
      <alignment vertical="top"/>
    </xf>
    <xf numFmtId="0" fontId="23" fillId="5" borderId="13" xfId="0" applyFont="1" applyFill="1" applyBorder="1" applyAlignment="1">
      <alignment horizontal="right" vertical="top"/>
    </xf>
    <xf numFmtId="0" fontId="22" fillId="5" borderId="0" xfId="0" applyFont="1" applyFill="1" applyBorder="1" applyAlignment="1">
      <alignment horizontal="center" vertical="top" wrapText="1"/>
    </xf>
    <xf numFmtId="0" fontId="23" fillId="18" borderId="22" xfId="0" applyFont="1" applyFill="1" applyBorder="1" applyAlignment="1">
      <alignment horizontal="left" vertical="center" wrapText="1"/>
    </xf>
    <xf numFmtId="0" fontId="23" fillId="18" borderId="24" xfId="0" applyFont="1" applyFill="1" applyBorder="1" applyAlignment="1">
      <alignment horizontal="left" vertical="center" wrapText="1"/>
    </xf>
    <xf numFmtId="0" fontId="23" fillId="18" borderId="22" xfId="0" applyFont="1" applyFill="1" applyBorder="1" applyAlignment="1">
      <alignment horizontal="center" vertical="center" wrapText="1"/>
    </xf>
    <xf numFmtId="0" fontId="23" fillId="18" borderId="23" xfId="0" applyFont="1" applyFill="1" applyBorder="1" applyAlignment="1">
      <alignment horizontal="center" vertical="center" wrapText="1"/>
    </xf>
    <xf numFmtId="0" fontId="23" fillId="18" borderId="24" xfId="0" applyFont="1" applyFill="1" applyBorder="1" applyAlignment="1">
      <alignment horizontal="center" vertical="center" wrapText="1"/>
    </xf>
    <xf numFmtId="0" fontId="21" fillId="0" borderId="0" xfId="0" applyFont="1" applyBorder="1" applyAlignment="1">
      <alignment horizontal="center" vertical="top"/>
    </xf>
    <xf numFmtId="0" fontId="21" fillId="7" borderId="134" xfId="0" applyFont="1" applyFill="1" applyBorder="1" applyAlignment="1">
      <alignment vertical="center" wrapText="1"/>
    </xf>
    <xf numFmtId="0" fontId="21" fillId="7" borderId="135" xfId="0" applyFont="1" applyFill="1" applyBorder="1" applyAlignment="1">
      <alignment vertical="center" wrapText="1"/>
    </xf>
    <xf numFmtId="0" fontId="21" fillId="0" borderId="0" xfId="0" applyFont="1" applyBorder="1" applyAlignment="1">
      <alignment horizontal="left" vertical="top"/>
    </xf>
    <xf numFmtId="9" fontId="2" fillId="14" borderId="79" xfId="1" applyFont="1" applyFill="1" applyBorder="1" applyAlignment="1" applyProtection="1">
      <alignment horizontal="center" vertical="center"/>
    </xf>
    <xf numFmtId="9" fontId="2" fillId="14" borderId="139" xfId="1" applyFont="1" applyFill="1" applyBorder="1" applyAlignment="1" applyProtection="1">
      <alignment horizontal="center" vertical="center"/>
    </xf>
    <xf numFmtId="0" fontId="25" fillId="2" borderId="46" xfId="0" applyFont="1" applyFill="1" applyBorder="1" applyAlignment="1" applyProtection="1">
      <alignment horizontal="right" vertical="center"/>
    </xf>
    <xf numFmtId="0" fontId="2" fillId="10" borderId="81" xfId="0" applyFont="1" applyFill="1" applyBorder="1" applyAlignment="1" applyProtection="1">
      <alignment horizontal="center" vertical="center"/>
    </xf>
    <xf numFmtId="9" fontId="13" fillId="21" borderId="54" xfId="1" applyFont="1" applyFill="1" applyBorder="1" applyAlignment="1" applyProtection="1">
      <alignment horizontal="center" vertical="center"/>
    </xf>
    <xf numFmtId="2" fontId="26" fillId="17" borderId="54" xfId="0" applyNumberFormat="1" applyFont="1" applyFill="1" applyBorder="1" applyAlignment="1" applyProtection="1">
      <alignment horizontal="center" vertical="center"/>
    </xf>
    <xf numFmtId="2" fontId="3" fillId="2" borderId="3" xfId="1" applyNumberFormat="1" applyFont="1" applyFill="1" applyBorder="1" applyAlignment="1" applyProtection="1">
      <alignment horizontal="right" vertical="center" indent="2"/>
    </xf>
    <xf numFmtId="2" fontId="3" fillId="2" borderId="75" xfId="1" applyNumberFormat="1" applyFont="1" applyFill="1" applyBorder="1" applyAlignment="1" applyProtection="1">
      <alignment horizontal="right" vertical="center" indent="2"/>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9" fontId="2" fillId="14" borderId="7" xfId="1" applyFont="1" applyFill="1" applyBorder="1" applyAlignment="1" applyProtection="1">
      <alignment horizontal="center" vertical="center"/>
    </xf>
    <xf numFmtId="9" fontId="2" fillId="14" borderId="0" xfId="1" applyFont="1" applyFill="1" applyBorder="1" applyAlignment="1" applyProtection="1">
      <alignment horizontal="center" vertical="center"/>
    </xf>
    <xf numFmtId="0" fontId="3" fillId="3" borderId="0" xfId="0" applyFont="1" applyFill="1" applyBorder="1" applyAlignment="1" applyProtection="1">
      <alignment horizontal="left"/>
      <protection locked="0"/>
    </xf>
    <xf numFmtId="0" fontId="13" fillId="14" borderId="4" xfId="0" applyFont="1" applyFill="1" applyBorder="1" applyAlignment="1" applyProtection="1">
      <alignment horizontal="center" vertical="center"/>
    </xf>
    <xf numFmtId="0" fontId="13" fillId="14" borderId="0" xfId="0" applyFont="1" applyFill="1" applyBorder="1" applyAlignment="1" applyProtection="1">
      <alignment horizontal="center" vertical="center"/>
    </xf>
    <xf numFmtId="0" fontId="13" fillId="14" borderId="76" xfId="0" applyFont="1" applyFill="1" applyBorder="1" applyAlignment="1" applyProtection="1">
      <alignment horizontal="center" vertical="center"/>
    </xf>
    <xf numFmtId="0" fontId="13" fillId="13" borderId="4" xfId="0" applyFont="1" applyFill="1" applyBorder="1" applyAlignment="1" applyProtection="1">
      <alignment horizontal="center" vertical="center"/>
    </xf>
    <xf numFmtId="0" fontId="13" fillId="13" borderId="0" xfId="0" applyFont="1" applyFill="1" applyBorder="1" applyAlignment="1" applyProtection="1">
      <alignment horizontal="center" vertical="center"/>
    </xf>
    <xf numFmtId="0" fontId="13" fillId="13" borderId="76"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9" fontId="2" fillId="14" borderId="96" xfId="1" applyFont="1" applyFill="1" applyBorder="1" applyAlignment="1" applyProtection="1">
      <alignment horizontal="center" vertical="center"/>
    </xf>
    <xf numFmtId="9" fontId="2" fillId="14" borderId="97" xfId="1" applyFont="1" applyFill="1" applyBorder="1" applyAlignment="1" applyProtection="1">
      <alignment horizontal="center" vertical="center"/>
    </xf>
    <xf numFmtId="9" fontId="3" fillId="14" borderId="77" xfId="1" applyFont="1" applyFill="1" applyBorder="1" applyAlignment="1" applyProtection="1">
      <alignment horizontal="center" vertical="center"/>
    </xf>
    <xf numFmtId="9" fontId="3" fillId="14" borderId="98" xfId="1" applyFont="1" applyFill="1" applyBorder="1" applyAlignment="1" applyProtection="1">
      <alignment horizontal="center" vertical="center"/>
    </xf>
    <xf numFmtId="9" fontId="3" fillId="14" borderId="99" xfId="1" applyFont="1" applyFill="1" applyBorder="1" applyAlignment="1" applyProtection="1">
      <alignment horizontal="center" vertical="center"/>
    </xf>
    <xf numFmtId="9" fontId="3" fillId="14" borderId="100" xfId="1" applyFont="1" applyFill="1" applyBorder="1" applyAlignment="1" applyProtection="1">
      <alignment horizontal="center" vertical="center"/>
    </xf>
    <xf numFmtId="0" fontId="3" fillId="3" borderId="0" xfId="0" applyFont="1" applyFill="1" applyBorder="1" applyAlignment="1" applyProtection="1">
      <alignment horizontal="left"/>
    </xf>
    <xf numFmtId="9" fontId="2" fillId="14" borderId="1" xfId="1" applyFont="1" applyFill="1" applyBorder="1" applyAlignment="1" applyProtection="1">
      <alignment horizontal="center" vertical="center"/>
    </xf>
    <xf numFmtId="0" fontId="22" fillId="5" borderId="131" xfId="0" applyFont="1" applyFill="1" applyBorder="1" applyAlignment="1">
      <alignment horizontal="center" vertical="center" wrapText="1"/>
    </xf>
    <xf numFmtId="0" fontId="22" fillId="5" borderId="120" xfId="0" applyFont="1" applyFill="1" applyBorder="1" applyAlignment="1">
      <alignment horizontal="center" vertical="center" wrapText="1"/>
    </xf>
    <xf numFmtId="0" fontId="22" fillId="5" borderId="137" xfId="0" applyFont="1" applyFill="1" applyBorder="1" applyAlignment="1">
      <alignment horizontal="center" vertical="center" wrapText="1"/>
    </xf>
    <xf numFmtId="0" fontId="22" fillId="5" borderId="138" xfId="0" applyFont="1" applyFill="1" applyBorder="1" applyAlignment="1">
      <alignment horizontal="center" vertical="center" wrapText="1"/>
    </xf>
    <xf numFmtId="0" fontId="24" fillId="5" borderId="9" xfId="0" applyFont="1" applyFill="1" applyBorder="1" applyAlignment="1">
      <alignment horizontal="right" vertical="center" wrapText="1"/>
    </xf>
    <xf numFmtId="0" fontId="24" fillId="5" borderId="10" xfId="0" applyFont="1" applyFill="1" applyBorder="1" applyAlignment="1">
      <alignment horizontal="right" vertical="center" wrapText="1"/>
    </xf>
    <xf numFmtId="0" fontId="24" fillId="5" borderId="12" xfId="0" applyFont="1" applyFill="1" applyBorder="1" applyAlignment="1">
      <alignment horizontal="right" vertical="center" wrapText="1"/>
    </xf>
    <xf numFmtId="0" fontId="24" fillId="5" borderId="13" xfId="0" applyFont="1" applyFill="1" applyBorder="1" applyAlignment="1">
      <alignment horizontal="right" vertical="center" wrapText="1"/>
    </xf>
    <xf numFmtId="0" fontId="22" fillId="5" borderId="9" xfId="0" applyFont="1" applyFill="1" applyBorder="1" applyAlignment="1">
      <alignment horizontal="center" vertical="top" wrapText="1"/>
    </xf>
    <xf numFmtId="0" fontId="22" fillId="5" borderId="10" xfId="0" applyFont="1" applyFill="1" applyBorder="1" applyAlignment="1">
      <alignment horizontal="center" vertical="top" wrapText="1"/>
    </xf>
    <xf numFmtId="0" fontId="22" fillId="5" borderId="11" xfId="0" applyFont="1" applyFill="1" applyBorder="1" applyAlignment="1">
      <alignment horizontal="center" vertical="top" wrapText="1"/>
    </xf>
    <xf numFmtId="0" fontId="22" fillId="5" borderId="12" xfId="0" applyFont="1" applyFill="1" applyBorder="1" applyAlignment="1">
      <alignment horizontal="center" vertical="top" wrapText="1"/>
    </xf>
    <xf numFmtId="0" fontId="22" fillId="5" borderId="13" xfId="0" applyFont="1" applyFill="1" applyBorder="1" applyAlignment="1">
      <alignment horizontal="center" vertical="top" wrapText="1"/>
    </xf>
    <xf numFmtId="0" fontId="22" fillId="5" borderId="14" xfId="0" applyFont="1" applyFill="1" applyBorder="1" applyAlignment="1">
      <alignment horizontal="center" vertical="top" wrapText="1"/>
    </xf>
    <xf numFmtId="0" fontId="22" fillId="5" borderId="121" xfId="0" applyFont="1" applyFill="1" applyBorder="1" applyAlignment="1">
      <alignment horizontal="center" vertical="center" wrapText="1"/>
    </xf>
    <xf numFmtId="0" fontId="22" fillId="5" borderId="134" xfId="0" applyFont="1" applyFill="1" applyBorder="1" applyAlignment="1">
      <alignment horizontal="center" vertical="center" wrapText="1"/>
    </xf>
    <xf numFmtId="0" fontId="22" fillId="5" borderId="136" xfId="0" applyFont="1" applyFill="1" applyBorder="1" applyAlignment="1">
      <alignment horizontal="center" vertical="center" wrapText="1"/>
    </xf>
    <xf numFmtId="0" fontId="22" fillId="5" borderId="135" xfId="0" applyFont="1" applyFill="1" applyBorder="1" applyAlignment="1">
      <alignment horizontal="center" vertical="center" wrapText="1"/>
    </xf>
    <xf numFmtId="0" fontId="22" fillId="5" borderId="131" xfId="0" applyFont="1" applyFill="1" applyBorder="1" applyAlignment="1">
      <alignment horizontal="center" vertical="center"/>
    </xf>
    <xf numFmtId="0" fontId="22" fillId="5" borderId="120" xfId="0" applyFont="1" applyFill="1" applyBorder="1" applyAlignment="1">
      <alignment horizontal="center" vertical="center"/>
    </xf>
    <xf numFmtId="0" fontId="22" fillId="5" borderId="134" xfId="0" applyFont="1" applyFill="1" applyBorder="1" applyAlignment="1">
      <alignment horizontal="center" vertical="center"/>
    </xf>
    <xf numFmtId="0" fontId="22" fillId="5" borderId="135" xfId="0" applyFont="1" applyFill="1" applyBorder="1" applyAlignment="1">
      <alignment horizontal="center" vertical="center"/>
    </xf>
    <xf numFmtId="0" fontId="22" fillId="5" borderId="123" xfId="0" applyFont="1" applyFill="1" applyBorder="1" applyAlignment="1">
      <alignment horizontal="center" vertical="top" wrapText="1"/>
    </xf>
    <xf numFmtId="0" fontId="22" fillId="5" borderId="122" xfId="0" applyFont="1" applyFill="1" applyBorder="1" applyAlignment="1">
      <alignment horizontal="center" vertical="top" wrapText="1"/>
    </xf>
    <xf numFmtId="0" fontId="22" fillId="5" borderId="137" xfId="0" applyFont="1" applyFill="1" applyBorder="1" applyAlignment="1">
      <alignment horizontal="center" vertical="top" wrapText="1"/>
    </xf>
    <xf numFmtId="0" fontId="22" fillId="5" borderId="13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33" xfId="0" applyFont="1" applyFill="1" applyBorder="1" applyAlignment="1">
      <alignment horizontal="center" vertical="center" wrapText="1"/>
    </xf>
  </cellXfs>
  <cellStyles count="2">
    <cellStyle name="Normal" xfId="0" builtinId="0"/>
    <cellStyle name="Percent" xfId="1" builtinId="5"/>
  </cellStyles>
  <dxfs count="9">
    <dxf>
      <fill>
        <patternFill>
          <bgColor theme="9" tint="0.79998168889431442"/>
        </patternFill>
      </fill>
    </dxf>
    <dxf>
      <font>
        <color theme="7" tint="0.79998168889431442"/>
      </font>
      <fill>
        <patternFill>
          <bgColor theme="7" tint="0.79998168889431442"/>
        </patternFill>
      </fill>
    </dxf>
    <dxf>
      <font>
        <color theme="0"/>
      </font>
      <fill>
        <patternFill>
          <bgColor rgb="FFFF0000"/>
        </patternFill>
      </fill>
    </dxf>
    <dxf>
      <font>
        <color theme="0"/>
      </font>
      <fill>
        <patternFill>
          <bgColor rgb="FFFF0000"/>
        </patternFill>
      </fill>
    </dxf>
    <dxf>
      <font>
        <color theme="0" tint="-0.499984740745262"/>
      </font>
    </dxf>
    <dxf>
      <font>
        <color theme="0" tint="-0.499984740745262"/>
      </font>
    </dxf>
    <dxf>
      <font>
        <b/>
        <i val="0"/>
        <color theme="0"/>
      </font>
      <fill>
        <patternFill>
          <bgColor rgb="FFFF0000"/>
        </patternFill>
      </fill>
    </dxf>
    <dxf>
      <font>
        <b/>
        <i val="0"/>
        <color theme="0"/>
      </font>
      <fill>
        <patternFill>
          <bgColor rgb="FFFF0000"/>
        </patternFill>
      </fill>
    </dxf>
    <dxf>
      <font>
        <color theme="7" tint="0.79998168889431442"/>
      </font>
      <fill>
        <patternFill patternType="solid">
          <bgColor theme="7" tint="0.79998168889431442"/>
        </patternFill>
      </fill>
    </dxf>
  </dxfs>
  <tableStyles count="0" defaultTableStyle="TableStyleMedium2" defaultPivotStyle="PivotStyleLight16"/>
  <colors>
    <mruColors>
      <color rgb="FF800000"/>
      <color rgb="FF990000"/>
      <color rgb="FFD20000"/>
      <color rgb="FFFFD44B"/>
      <color rgb="FFFFFFFF"/>
      <color rgb="FFF9FBFD"/>
      <color rgb="FF684D00"/>
      <color rgb="FFF9FBF7"/>
      <color rgb="FFF1F7ED"/>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19</xdr:col>
      <xdr:colOff>2162175</xdr:colOff>
      <xdr:row>7</xdr:row>
      <xdr:rowOff>304076</xdr:rowOff>
    </xdr:from>
    <xdr:ext cx="1076325" cy="1066496"/>
    <xdr:pic>
      <xdr:nvPicPr>
        <xdr:cNvPr id="3" name="Afbeelding 2">
          <a:extLst>
            <a:ext uri="{FF2B5EF4-FFF2-40B4-BE49-F238E27FC236}">
              <a16:creationId xmlns:a16="http://schemas.microsoft.com/office/drawing/2014/main" id="{42DF8D2A-665A-4771-886A-8593C736ADFF}"/>
            </a:ext>
          </a:extLst>
        </xdr:cNvPr>
        <xdr:cNvPicPr>
          <a:picLocks noChangeAspect="1"/>
        </xdr:cNvPicPr>
      </xdr:nvPicPr>
      <xdr:blipFill>
        <a:blip xmlns:r="http://schemas.openxmlformats.org/officeDocument/2006/relationships" r:embed="rId1"/>
        <a:stretch>
          <a:fillRect/>
        </a:stretch>
      </xdr:blipFill>
      <xdr:spPr>
        <a:xfrm>
          <a:off x="17173575" y="7333526"/>
          <a:ext cx="1076325" cy="1066496"/>
        </a:xfrm>
        <a:prstGeom prst="rect">
          <a:avLst/>
        </a:prstGeom>
      </xdr:spPr>
    </xdr:pic>
    <xdr:clientData/>
  </xdr:oneCellAnchor>
  <xdr:twoCellAnchor editAs="oneCell">
    <xdr:from>
      <xdr:col>15</xdr:col>
      <xdr:colOff>152400</xdr:colOff>
      <xdr:row>15</xdr:row>
      <xdr:rowOff>1657350</xdr:rowOff>
    </xdr:from>
    <xdr:to>
      <xdr:col>15</xdr:col>
      <xdr:colOff>914466</xdr:colOff>
      <xdr:row>15</xdr:row>
      <xdr:rowOff>2004852</xdr:rowOff>
    </xdr:to>
    <xdr:pic>
      <xdr:nvPicPr>
        <xdr:cNvPr id="5" name="Afbeelding 4">
          <a:extLst>
            <a:ext uri="{FF2B5EF4-FFF2-40B4-BE49-F238E27FC236}">
              <a16:creationId xmlns:a16="http://schemas.microsoft.com/office/drawing/2014/main" id="{DBC3D2BA-0FFB-4652-A6DB-85AC1F14A015}"/>
            </a:ext>
          </a:extLst>
        </xdr:cNvPr>
        <xdr:cNvPicPr>
          <a:picLocks noChangeAspect="1"/>
        </xdr:cNvPicPr>
      </xdr:nvPicPr>
      <xdr:blipFill>
        <a:blip xmlns:r="http://schemas.openxmlformats.org/officeDocument/2006/relationships" r:embed="rId2"/>
        <a:stretch>
          <a:fillRect/>
        </a:stretch>
      </xdr:blipFill>
      <xdr:spPr>
        <a:xfrm>
          <a:off x="11087100" y="18830925"/>
          <a:ext cx="762066" cy="347502"/>
        </a:xfrm>
        <a:prstGeom prst="rect">
          <a:avLst/>
        </a:prstGeom>
      </xdr:spPr>
    </xdr:pic>
    <xdr:clientData/>
  </xdr:twoCellAnchor>
  <xdr:twoCellAnchor editAs="oneCell">
    <xdr:from>
      <xdr:col>16</xdr:col>
      <xdr:colOff>209550</xdr:colOff>
      <xdr:row>15</xdr:row>
      <xdr:rowOff>1295400</xdr:rowOff>
    </xdr:from>
    <xdr:to>
      <xdr:col>16</xdr:col>
      <xdr:colOff>977713</xdr:colOff>
      <xdr:row>15</xdr:row>
      <xdr:rowOff>2075756</xdr:rowOff>
    </xdr:to>
    <xdr:pic>
      <xdr:nvPicPr>
        <xdr:cNvPr id="6" name="Afbeelding 5">
          <a:extLst>
            <a:ext uri="{FF2B5EF4-FFF2-40B4-BE49-F238E27FC236}">
              <a16:creationId xmlns:a16="http://schemas.microsoft.com/office/drawing/2014/main" id="{228B2F04-0BF8-4364-B4D5-8DDD7062D437}"/>
            </a:ext>
          </a:extLst>
        </xdr:cNvPr>
        <xdr:cNvPicPr>
          <a:picLocks noChangeAspect="1"/>
        </xdr:cNvPicPr>
      </xdr:nvPicPr>
      <xdr:blipFill>
        <a:blip xmlns:r="http://schemas.openxmlformats.org/officeDocument/2006/relationships" r:embed="rId3"/>
        <a:stretch>
          <a:fillRect/>
        </a:stretch>
      </xdr:blipFill>
      <xdr:spPr>
        <a:xfrm>
          <a:off x="12201525" y="18468975"/>
          <a:ext cx="768163" cy="780356"/>
        </a:xfrm>
        <a:prstGeom prst="rect">
          <a:avLst/>
        </a:prstGeom>
      </xdr:spPr>
    </xdr:pic>
    <xdr:clientData/>
  </xdr:twoCellAnchor>
  <xdr:twoCellAnchor editAs="oneCell">
    <xdr:from>
      <xdr:col>17</xdr:col>
      <xdr:colOff>228600</xdr:colOff>
      <xdr:row>15</xdr:row>
      <xdr:rowOff>1171575</xdr:rowOff>
    </xdr:from>
    <xdr:to>
      <xdr:col>18</xdr:col>
      <xdr:colOff>61418</xdr:colOff>
      <xdr:row>15</xdr:row>
      <xdr:rowOff>2079958</xdr:rowOff>
    </xdr:to>
    <xdr:pic>
      <xdr:nvPicPr>
        <xdr:cNvPr id="7" name="Afbeelding 6">
          <a:extLst>
            <a:ext uri="{FF2B5EF4-FFF2-40B4-BE49-F238E27FC236}">
              <a16:creationId xmlns:a16="http://schemas.microsoft.com/office/drawing/2014/main" id="{C619E66F-4EF3-420A-933F-5C52B46BD970}"/>
            </a:ext>
          </a:extLst>
        </xdr:cNvPr>
        <xdr:cNvPicPr>
          <a:picLocks noChangeAspect="1"/>
        </xdr:cNvPicPr>
      </xdr:nvPicPr>
      <xdr:blipFill>
        <a:blip xmlns:r="http://schemas.openxmlformats.org/officeDocument/2006/relationships" r:embed="rId4"/>
        <a:stretch>
          <a:fillRect/>
        </a:stretch>
      </xdr:blipFill>
      <xdr:spPr>
        <a:xfrm>
          <a:off x="13277850" y="18345150"/>
          <a:ext cx="890093" cy="908383"/>
        </a:xfrm>
        <a:prstGeom prst="rect">
          <a:avLst/>
        </a:prstGeom>
      </xdr:spPr>
    </xdr:pic>
    <xdr:clientData/>
  </xdr:twoCellAnchor>
  <xdr:twoCellAnchor editAs="oneCell">
    <xdr:from>
      <xdr:col>18</xdr:col>
      <xdr:colOff>228600</xdr:colOff>
      <xdr:row>15</xdr:row>
      <xdr:rowOff>1285875</xdr:rowOff>
    </xdr:from>
    <xdr:to>
      <xdr:col>18</xdr:col>
      <xdr:colOff>996763</xdr:colOff>
      <xdr:row>15</xdr:row>
      <xdr:rowOff>2066231</xdr:rowOff>
    </xdr:to>
    <xdr:pic>
      <xdr:nvPicPr>
        <xdr:cNvPr id="8" name="Afbeelding 7">
          <a:extLst>
            <a:ext uri="{FF2B5EF4-FFF2-40B4-BE49-F238E27FC236}">
              <a16:creationId xmlns:a16="http://schemas.microsoft.com/office/drawing/2014/main" id="{EFD2B192-7C6F-4A41-AE65-47A75709E26F}"/>
            </a:ext>
          </a:extLst>
        </xdr:cNvPr>
        <xdr:cNvPicPr>
          <a:picLocks noChangeAspect="1"/>
        </xdr:cNvPicPr>
      </xdr:nvPicPr>
      <xdr:blipFill>
        <a:blip xmlns:r="http://schemas.openxmlformats.org/officeDocument/2006/relationships" r:embed="rId5"/>
        <a:stretch>
          <a:fillRect/>
        </a:stretch>
      </xdr:blipFill>
      <xdr:spPr>
        <a:xfrm>
          <a:off x="14335125" y="18459450"/>
          <a:ext cx="768163" cy="780356"/>
        </a:xfrm>
        <a:prstGeom prst="rect">
          <a:avLst/>
        </a:prstGeom>
      </xdr:spPr>
    </xdr:pic>
    <xdr:clientData/>
  </xdr:twoCellAnchor>
  <xdr:twoCellAnchor editAs="oneCell">
    <xdr:from>
      <xdr:col>15</xdr:col>
      <xdr:colOff>590551</xdr:colOff>
      <xdr:row>20</xdr:row>
      <xdr:rowOff>342900</xdr:rowOff>
    </xdr:from>
    <xdr:to>
      <xdr:col>16</xdr:col>
      <xdr:colOff>448620</xdr:colOff>
      <xdr:row>20</xdr:row>
      <xdr:rowOff>1108034</xdr:rowOff>
    </xdr:to>
    <xdr:pic>
      <xdr:nvPicPr>
        <xdr:cNvPr id="9" name="Afbeelding 8">
          <a:extLst>
            <a:ext uri="{FF2B5EF4-FFF2-40B4-BE49-F238E27FC236}">
              <a16:creationId xmlns:a16="http://schemas.microsoft.com/office/drawing/2014/main" id="{3732C4B8-5697-4A2E-98F8-9D54001C2C31}"/>
            </a:ext>
          </a:extLst>
        </xdr:cNvPr>
        <xdr:cNvPicPr>
          <a:picLocks noChangeAspect="1"/>
        </xdr:cNvPicPr>
      </xdr:nvPicPr>
      <xdr:blipFill>
        <a:blip xmlns:r="http://schemas.openxmlformats.org/officeDocument/2006/relationships" r:embed="rId6"/>
        <a:stretch>
          <a:fillRect/>
        </a:stretch>
      </xdr:blipFill>
      <xdr:spPr>
        <a:xfrm>
          <a:off x="11525251" y="24479250"/>
          <a:ext cx="915344" cy="765134"/>
        </a:xfrm>
        <a:prstGeom prst="rect">
          <a:avLst/>
        </a:prstGeom>
      </xdr:spPr>
    </xdr:pic>
    <xdr:clientData/>
  </xdr:twoCellAnchor>
  <xdr:twoCellAnchor editAs="oneCell">
    <xdr:from>
      <xdr:col>17</xdr:col>
      <xdr:colOff>666750</xdr:colOff>
      <xdr:row>20</xdr:row>
      <xdr:rowOff>363537</xdr:rowOff>
    </xdr:from>
    <xdr:to>
      <xdr:col>18</xdr:col>
      <xdr:colOff>447675</xdr:colOff>
      <xdr:row>20</xdr:row>
      <xdr:rowOff>746418</xdr:rowOff>
    </xdr:to>
    <xdr:pic>
      <xdr:nvPicPr>
        <xdr:cNvPr id="10" name="Afbeelding 9">
          <a:extLst>
            <a:ext uri="{FF2B5EF4-FFF2-40B4-BE49-F238E27FC236}">
              <a16:creationId xmlns:a16="http://schemas.microsoft.com/office/drawing/2014/main" id="{93BA87AD-05BB-4DD8-BFC7-640E4652B21D}"/>
            </a:ext>
          </a:extLst>
        </xdr:cNvPr>
        <xdr:cNvPicPr>
          <a:picLocks noChangeAspect="1"/>
        </xdr:cNvPicPr>
      </xdr:nvPicPr>
      <xdr:blipFill>
        <a:blip xmlns:r="http://schemas.openxmlformats.org/officeDocument/2006/relationships" r:embed="rId7"/>
        <a:stretch>
          <a:fillRect/>
        </a:stretch>
      </xdr:blipFill>
      <xdr:spPr>
        <a:xfrm>
          <a:off x="13716000" y="24499887"/>
          <a:ext cx="838200" cy="382881"/>
        </a:xfrm>
        <a:prstGeom prst="rect">
          <a:avLst/>
        </a:prstGeom>
      </xdr:spPr>
    </xdr:pic>
    <xdr:clientData/>
  </xdr:twoCellAnchor>
  <xdr:twoCellAnchor editAs="oneCell">
    <xdr:from>
      <xdr:col>16</xdr:col>
      <xdr:colOff>466725</xdr:colOff>
      <xdr:row>21</xdr:row>
      <xdr:rowOff>498138</xdr:rowOff>
    </xdr:from>
    <xdr:to>
      <xdr:col>18</xdr:col>
      <xdr:colOff>133350</xdr:colOff>
      <xdr:row>21</xdr:row>
      <xdr:rowOff>1208607</xdr:rowOff>
    </xdr:to>
    <xdr:pic>
      <xdr:nvPicPr>
        <xdr:cNvPr id="11" name="Afbeelding 10">
          <a:extLst>
            <a:ext uri="{FF2B5EF4-FFF2-40B4-BE49-F238E27FC236}">
              <a16:creationId xmlns:a16="http://schemas.microsoft.com/office/drawing/2014/main" id="{6DE61F14-146D-4982-A3BF-6901C1047FBD}"/>
            </a:ext>
          </a:extLst>
        </xdr:cNvPr>
        <xdr:cNvPicPr>
          <a:picLocks noChangeAspect="1"/>
        </xdr:cNvPicPr>
      </xdr:nvPicPr>
      <xdr:blipFill>
        <a:blip xmlns:r="http://schemas.openxmlformats.org/officeDocument/2006/relationships" r:embed="rId8"/>
        <a:stretch>
          <a:fillRect/>
        </a:stretch>
      </xdr:blipFill>
      <xdr:spPr>
        <a:xfrm>
          <a:off x="12458700" y="25787013"/>
          <a:ext cx="1781175" cy="71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E0A1-1E22-41DF-B6BF-29FA7E007D55}">
  <dimension ref="A1:W189"/>
  <sheetViews>
    <sheetView showGridLines="0" showRowColHeaders="0" topLeftCell="A163" zoomScale="80" zoomScaleNormal="80" workbookViewId="0">
      <selection activeCell="L10" sqref="L10"/>
    </sheetView>
  </sheetViews>
  <sheetFormatPr defaultColWidth="9.140625" defaultRowHeight="15.75" customHeight="1"/>
  <cols>
    <col min="1" max="1" width="2.28515625" style="7" customWidth="1"/>
    <col min="2" max="2" width="7.140625" style="211" customWidth="1"/>
    <col min="3" max="3" width="21.7109375" style="5" customWidth="1"/>
    <col min="4" max="4" width="40.42578125" style="5" customWidth="1"/>
    <col min="5" max="5" width="21.28515625" style="148" customWidth="1"/>
    <col min="6" max="9" width="10.85546875" style="149" customWidth="1"/>
    <col min="10" max="10" width="10.85546875" style="150" customWidth="1"/>
    <col min="11" max="11" width="9.140625" style="213"/>
    <col min="12" max="12" width="9.140625" style="156"/>
    <col min="13" max="13" width="9.140625" style="152"/>
    <col min="14" max="15" width="9.140625" style="212"/>
    <col min="16" max="17" width="9.140625" style="213"/>
    <col min="18" max="19" width="9.140625" style="180"/>
    <col min="20" max="23" width="9.140625" style="224"/>
    <col min="24" max="16384" width="9.140625" style="3"/>
  </cols>
  <sheetData>
    <row r="1" spans="1:23" ht="9.75" customHeight="1"/>
    <row r="2" spans="1:23" s="52" customFormat="1" ht="24.95" customHeight="1">
      <c r="A2" s="154"/>
      <c r="B2" s="327" t="s">
        <v>0</v>
      </c>
      <c r="C2" s="328"/>
      <c r="D2" s="328"/>
      <c r="E2" s="328"/>
      <c r="F2" s="328"/>
      <c r="G2" s="328"/>
      <c r="H2" s="325" t="s">
        <v>1</v>
      </c>
      <c r="I2" s="325"/>
      <c r="J2" s="326"/>
      <c r="K2" s="216"/>
      <c r="L2" s="219"/>
      <c r="M2" s="214"/>
      <c r="N2" s="215"/>
      <c r="O2" s="216"/>
      <c r="P2" s="216"/>
      <c r="Q2" s="216"/>
      <c r="R2" s="179"/>
      <c r="S2" s="179"/>
      <c r="T2" s="225"/>
      <c r="U2" s="225"/>
      <c r="V2" s="225"/>
      <c r="W2" s="225"/>
    </row>
    <row r="3" spans="1:23" ht="24.95" customHeight="1">
      <c r="B3" s="332" t="s">
        <v>2</v>
      </c>
      <c r="C3" s="333"/>
      <c r="D3" s="333"/>
      <c r="E3" s="333"/>
      <c r="F3" s="333"/>
      <c r="G3" s="333"/>
      <c r="H3" s="333"/>
      <c r="I3" s="333"/>
      <c r="J3" s="334"/>
      <c r="O3" s="213"/>
    </row>
    <row r="4" spans="1:23" ht="15.75" customHeight="1">
      <c r="B4" s="190"/>
      <c r="C4" s="53" t="s">
        <v>3</v>
      </c>
      <c r="D4" s="1" t="s">
        <v>4</v>
      </c>
      <c r="E4" s="54"/>
      <c r="F4" s="54"/>
      <c r="G4" s="54"/>
      <c r="H4" s="54"/>
      <c r="I4" s="54"/>
      <c r="J4" s="55"/>
      <c r="O4" s="213"/>
    </row>
    <row r="5" spans="1:23" ht="15.75" customHeight="1">
      <c r="B5" s="190"/>
      <c r="C5" s="53" t="s">
        <v>5</v>
      </c>
      <c r="D5" s="1" t="s">
        <v>6</v>
      </c>
      <c r="E5" s="54"/>
      <c r="F5" s="54"/>
      <c r="G5" s="54"/>
      <c r="H5" s="54"/>
      <c r="I5" s="54"/>
      <c r="J5" s="55"/>
      <c r="O5" s="213"/>
    </row>
    <row r="6" spans="1:23" ht="15.75" customHeight="1">
      <c r="B6" s="190"/>
      <c r="C6" s="53" t="s">
        <v>7</v>
      </c>
      <c r="D6" s="56" t="b">
        <f>IF(O11=1,P11,IF(O12=1,P12,IF(O13=1,P13,IF(O14=1,P14,IF(O15=1,P15,IF(O16=1,P16,IF(O17=1,P17,IF(O18=1,P18))))))))</f>
        <v>0</v>
      </c>
      <c r="E6" s="57"/>
      <c r="F6" s="57"/>
      <c r="G6" s="57"/>
      <c r="H6" s="57"/>
      <c r="I6" s="54"/>
      <c r="J6" s="55"/>
      <c r="O6" s="213"/>
    </row>
    <row r="7" spans="1:23" ht="15.75" customHeight="1">
      <c r="B7" s="190"/>
      <c r="C7" s="58"/>
      <c r="D7" s="58"/>
      <c r="E7" s="59"/>
      <c r="F7" s="60"/>
      <c r="G7" s="60"/>
      <c r="H7" s="60"/>
      <c r="I7" s="60"/>
      <c r="J7" s="61"/>
      <c r="O7" s="213"/>
    </row>
    <row r="8" spans="1:23" s="52" customFormat="1" ht="24.95" customHeight="1">
      <c r="A8" s="154"/>
      <c r="B8" s="335" t="s">
        <v>8</v>
      </c>
      <c r="C8" s="336"/>
      <c r="D8" s="336"/>
      <c r="E8" s="336"/>
      <c r="F8" s="336"/>
      <c r="G8" s="336"/>
      <c r="H8" s="336"/>
      <c r="I8" s="336"/>
      <c r="J8" s="337"/>
      <c r="K8" s="216"/>
      <c r="L8" s="219"/>
      <c r="M8" s="214"/>
      <c r="N8" s="215"/>
      <c r="O8" s="216"/>
      <c r="P8" s="216"/>
      <c r="Q8" s="216"/>
      <c r="R8" s="179"/>
      <c r="S8" s="179"/>
      <c r="T8" s="225"/>
      <c r="U8" s="225"/>
      <c r="V8" s="225"/>
      <c r="W8" s="225"/>
    </row>
    <row r="9" spans="1:23" ht="15.75" customHeight="1">
      <c r="B9" s="191"/>
      <c r="C9" s="62" t="s">
        <v>9</v>
      </c>
      <c r="D9" s="151" t="s">
        <v>10</v>
      </c>
      <c r="E9" s="63" t="s">
        <v>11</v>
      </c>
      <c r="F9" s="64" t="s">
        <v>12</v>
      </c>
      <c r="G9" s="65" t="s">
        <v>13</v>
      </c>
      <c r="H9" s="66" t="s">
        <v>14</v>
      </c>
      <c r="I9" s="67" t="s">
        <v>15</v>
      </c>
      <c r="J9" s="68" t="s">
        <v>16</v>
      </c>
      <c r="L9" s="156" t="s">
        <v>17</v>
      </c>
      <c r="O9" s="213"/>
    </row>
    <row r="10" spans="1:23" ht="15.75" customHeight="1">
      <c r="B10" s="191"/>
      <c r="C10" s="69"/>
      <c r="D10" s="69"/>
      <c r="E10" s="70" t="s">
        <v>18</v>
      </c>
      <c r="F10" s="71">
        <f>COUNTA(F11:F26)+IF($L$22=1,0,COUNTA(F29:F36))</f>
        <v>0</v>
      </c>
      <c r="G10" s="71">
        <f>COUNTA(G11:G26)+IF($L$22=1,SUM(J29:J36),COUNTA(G29:G36))</f>
        <v>24</v>
      </c>
      <c r="H10" s="71">
        <f t="shared" ref="H10:I10" si="0">COUNTA(H11:H26)+IF($L$22=1,0,COUNTA(H29:H36))</f>
        <v>0</v>
      </c>
      <c r="I10" s="72">
        <f t="shared" si="0"/>
        <v>0</v>
      </c>
      <c r="J10" s="73" t="s">
        <v>19</v>
      </c>
      <c r="L10" s="156" t="s">
        <v>4</v>
      </c>
      <c r="O10" s="155" t="s">
        <v>7</v>
      </c>
      <c r="P10" s="155" t="s">
        <v>20</v>
      </c>
    </row>
    <row r="11" spans="1:23" ht="15.75" customHeight="1">
      <c r="B11" s="192" t="str">
        <f>'Indicators,16-12-21'!B4</f>
        <v>D01a</v>
      </c>
      <c r="C11" s="81" t="str">
        <f>'Indicators,16-12-21'!C4</f>
        <v>Distinction between load-bearing structure and systems (use dynamics)</v>
      </c>
      <c r="D11" s="81"/>
      <c r="E11" s="82"/>
      <c r="F11" s="168"/>
      <c r="G11" s="168" t="s">
        <v>21</v>
      </c>
      <c r="H11" s="168"/>
      <c r="I11" s="168"/>
      <c r="J11" s="169">
        <f t="shared" ref="J11:J26" si="1">IF($F11="x",0,IF($G11="x",1,IF($H11="x",2,IF($I11="x",4))))</f>
        <v>1</v>
      </c>
      <c r="L11" s="156" t="s">
        <v>22</v>
      </c>
      <c r="O11" s="152">
        <f>IF(AND($D$4="Woon",$D$5="binnenstedelijk"),1,0)</f>
        <v>0</v>
      </c>
      <c r="P11" s="152" t="s">
        <v>23</v>
      </c>
    </row>
    <row r="12" spans="1:23" ht="15.75" customHeight="1">
      <c r="B12" s="192" t="str">
        <f>'Indicators,16-12-21'!B5</f>
        <v>D01b</v>
      </c>
      <c r="C12" s="81" t="str">
        <f>'Indicators,16-12-21'!C5</f>
        <v>Distinction between load-bearing structure and systems (repurposing dynamics)</v>
      </c>
      <c r="D12" s="81"/>
      <c r="E12" s="82"/>
      <c r="F12" s="168"/>
      <c r="G12" s="168" t="s">
        <v>21</v>
      </c>
      <c r="H12" s="168"/>
      <c r="I12" s="168"/>
      <c r="J12" s="169">
        <f t="shared" si="1"/>
        <v>1</v>
      </c>
      <c r="L12" s="220" t="s">
        <v>24</v>
      </c>
      <c r="O12" s="152">
        <f>IF(AND($D$4="Woon",$D$5="niet-binnenstedelijk"),1,0)</f>
        <v>0</v>
      </c>
      <c r="P12" s="152" t="s">
        <v>25</v>
      </c>
    </row>
    <row r="13" spans="1:23" ht="15.75" customHeight="1">
      <c r="B13" s="192" t="str">
        <f>'Indicators,16-12-21'!B6</f>
        <v>D02a</v>
      </c>
      <c r="C13" s="81" t="str">
        <f>'Indicators,16-12-21'!C6</f>
        <v>Excess building area</v>
      </c>
      <c r="D13" s="81"/>
      <c r="E13" s="82"/>
      <c r="F13" s="168"/>
      <c r="G13" s="168" t="s">
        <v>21</v>
      </c>
      <c r="H13" s="168"/>
      <c r="I13" s="168"/>
      <c r="J13" s="169">
        <f t="shared" si="1"/>
        <v>1</v>
      </c>
      <c r="L13" s="156" t="s">
        <v>26</v>
      </c>
      <c r="O13" s="152">
        <f>IF(AND($D$4="Kantoor",$D$5="binnenstedelijk"),1,0)</f>
        <v>0</v>
      </c>
      <c r="P13" s="152" t="s">
        <v>27</v>
      </c>
    </row>
    <row r="14" spans="1:23" ht="15.75" customHeight="1">
      <c r="B14" s="193" t="str">
        <f>'Indicators,16-12-21'!B7</f>
        <v>D02b</v>
      </c>
      <c r="C14" s="84" t="str">
        <f>'Indicators,16-12-21'!C7</f>
        <v>Oversized home</v>
      </c>
      <c r="D14" s="84"/>
      <c r="E14" s="85"/>
      <c r="F14" s="168"/>
      <c r="G14" s="168" t="s">
        <v>21</v>
      </c>
      <c r="H14" s="168"/>
      <c r="I14" s="168"/>
      <c r="J14" s="86">
        <f t="shared" si="1"/>
        <v>1</v>
      </c>
      <c r="L14" s="159"/>
      <c r="O14" s="152">
        <f>IF(AND($D$4="Kantoor",$D$5="niet-binnenstedelijk"),1,0)</f>
        <v>0</v>
      </c>
      <c r="P14" s="152" t="s">
        <v>28</v>
      </c>
    </row>
    <row r="15" spans="1:23" ht="15.75" customHeight="1">
      <c r="B15" s="193" t="str">
        <f>'Indicators,16-12-21'!B8</f>
        <v>D03</v>
      </c>
      <c r="C15" s="84" t="str">
        <f>'Indicators,16-12-21'!C8</f>
        <v>Free floor height</v>
      </c>
      <c r="D15" s="84"/>
      <c r="E15" s="85"/>
      <c r="F15" s="168"/>
      <c r="G15" s="168" t="s">
        <v>21</v>
      </c>
      <c r="H15" s="168"/>
      <c r="I15" s="168"/>
      <c r="J15" s="86">
        <f t="shared" si="1"/>
        <v>1</v>
      </c>
      <c r="L15" s="156" t="s">
        <v>5</v>
      </c>
      <c r="O15" s="152">
        <f>IF(AND($D$4="Winkel",$D$5="binnenstedelijk"),1,0)</f>
        <v>0</v>
      </c>
      <c r="P15" s="152" t="s">
        <v>29</v>
      </c>
    </row>
    <row r="16" spans="1:23" ht="15.75" customHeight="1">
      <c r="B16" s="193" t="str">
        <f>'Indicators,16-12-21'!B9</f>
        <v>D04</v>
      </c>
      <c r="C16" s="84" t="str">
        <f>'Indicators,16-12-21'!C9</f>
        <v>Oversizing building space/reservation for electrical &amp; mechanical engineering (E&amp;W) systems and shafts</v>
      </c>
      <c r="D16" s="84"/>
      <c r="E16" s="85"/>
      <c r="F16" s="168"/>
      <c r="G16" s="168" t="s">
        <v>21</v>
      </c>
      <c r="H16" s="168"/>
      <c r="I16" s="168"/>
      <c r="J16" s="86">
        <f t="shared" si="1"/>
        <v>1</v>
      </c>
      <c r="L16" s="156" t="s">
        <v>30</v>
      </c>
      <c r="O16" s="152">
        <f>IF(AND($D$4="Winkel",$D$5="niet-binnenstedelijk"),1,0)</f>
        <v>0</v>
      </c>
      <c r="P16" s="152" t="s">
        <v>31</v>
      </c>
    </row>
    <row r="17" spans="2:16" ht="15.75" customHeight="1">
      <c r="B17" s="193" t="str">
        <f>'Indicators,16-12-21'!B10</f>
        <v>D05</v>
      </c>
      <c r="C17" s="84" t="str">
        <f>'Indicators,16-12-21'!C10</f>
        <v xml:space="preserve">Expandable building or dwelling/unit, horizontally and/or vertically
</v>
      </c>
      <c r="D17" s="84"/>
      <c r="E17" s="85"/>
      <c r="F17" s="168"/>
      <c r="G17" s="168" t="s">
        <v>21</v>
      </c>
      <c r="H17" s="168"/>
      <c r="I17" s="168"/>
      <c r="J17" s="86">
        <f t="shared" si="1"/>
        <v>1</v>
      </c>
      <c r="L17" s="156" t="s">
        <v>6</v>
      </c>
      <c r="O17" s="152">
        <f>IF(AND($D$4="Utiliteit,overig",$D$5="binnenstedelijk"),1,0)</f>
        <v>0</v>
      </c>
      <c r="P17" s="152" t="s">
        <v>32</v>
      </c>
    </row>
    <row r="18" spans="2:16" ht="15.75" customHeight="1">
      <c r="B18" s="193" t="str">
        <f>'Indicators,16-12-21'!B11</f>
        <v>D06</v>
      </c>
      <c r="C18" s="84" t="str">
        <f>'Indicators,16-12-21'!C11</f>
        <v xml:space="preserve">Adjustability of systems
</v>
      </c>
      <c r="D18" s="84"/>
      <c r="E18" s="85"/>
      <c r="F18" s="168"/>
      <c r="G18" s="168" t="s">
        <v>21</v>
      </c>
      <c r="H18" s="168"/>
      <c r="I18" s="168"/>
      <c r="J18" s="86">
        <f t="shared" si="1"/>
        <v>1</v>
      </c>
      <c r="L18" s="159"/>
      <c r="O18" s="152">
        <f>IF(AND($D$4="Utiliteit,overig",$D$5="niet-binnenstedelijk"),1,0)</f>
        <v>0</v>
      </c>
      <c r="P18" s="152" t="s">
        <v>33</v>
      </c>
    </row>
    <row r="19" spans="2:16" ht="15.75" customHeight="1">
      <c r="B19" s="193" t="str">
        <f>'Indicators,16-12-21'!B12</f>
        <v>D07</v>
      </c>
      <c r="C19" s="84" t="str">
        <f>'Indicators,16-12-21'!C12</f>
        <v xml:space="preserve">Relocatable interior walls
</v>
      </c>
      <c r="D19" s="84"/>
      <c r="E19" s="85"/>
      <c r="F19" s="168"/>
      <c r="G19" s="168" t="s">
        <v>21</v>
      </c>
      <c r="H19" s="168"/>
      <c r="I19" s="168"/>
      <c r="J19" s="86">
        <f t="shared" si="1"/>
        <v>1</v>
      </c>
      <c r="L19" s="157" t="s">
        <v>34</v>
      </c>
      <c r="M19" s="157"/>
      <c r="O19" s="218" t="s">
        <v>35</v>
      </c>
    </row>
    <row r="20" spans="2:16" ht="15.75" customHeight="1">
      <c r="B20" s="193" t="str">
        <f>'Indicators,16-12-21'!B13</f>
        <v>D08</v>
      </c>
      <c r="C20" s="84" t="str">
        <f>'Indicators,16-12-21'!C13</f>
        <v xml:space="preserve">Disconnectability and accessibility of system components
</v>
      </c>
      <c r="D20" s="84"/>
      <c r="E20" s="85"/>
      <c r="F20" s="168"/>
      <c r="G20" s="168" t="s">
        <v>21</v>
      </c>
      <c r="H20" s="168"/>
      <c r="I20" s="168"/>
      <c r="J20" s="86">
        <f t="shared" si="1"/>
        <v>1</v>
      </c>
      <c r="L20" s="347" t="s">
        <v>36</v>
      </c>
      <c r="M20" s="347"/>
      <c r="O20" s="212">
        <f>IF(OR($O$11=1,$O$12=1),0,1)</f>
        <v>1</v>
      </c>
    </row>
    <row r="21" spans="2:16" ht="15.75" customHeight="1">
      <c r="B21" s="193" t="str">
        <f>'Indicators,16-12-21'!B14</f>
        <v>D09</v>
      </c>
      <c r="C21" s="84" t="str">
        <f>'Indicators,16-12-21'!C14</f>
        <v>Positioning of load-bearing structure obstacles</v>
      </c>
      <c r="D21" s="84"/>
      <c r="E21" s="85"/>
      <c r="F21" s="168"/>
      <c r="G21" s="168" t="s">
        <v>21</v>
      </c>
      <c r="H21" s="168"/>
      <c r="I21" s="168"/>
      <c r="J21" s="86">
        <f t="shared" si="1"/>
        <v>1</v>
      </c>
      <c r="L21" s="347" t="s">
        <v>10</v>
      </c>
      <c r="M21" s="347"/>
      <c r="O21" s="213"/>
    </row>
    <row r="22" spans="2:16" ht="15.75" customHeight="1">
      <c r="B22" s="193" t="str">
        <f>'Indicators,16-12-21'!B15</f>
        <v>D10</v>
      </c>
      <c r="C22" s="84" t="str">
        <f>'Indicators,16-12-21'!C15</f>
        <v xml:space="preserve">Daylighting
</v>
      </c>
      <c r="D22" s="84"/>
      <c r="E22" s="85"/>
      <c r="F22" s="168"/>
      <c r="G22" s="168" t="s">
        <v>21</v>
      </c>
      <c r="H22" s="168"/>
      <c r="I22" s="168"/>
      <c r="J22" s="86">
        <f t="shared" si="1"/>
        <v>1</v>
      </c>
      <c r="L22" s="331">
        <f>IF($D$9="gebruik defaults",1,0)</f>
        <v>0</v>
      </c>
      <c r="M22" s="331"/>
      <c r="O22" s="213"/>
    </row>
    <row r="23" spans="2:16" ht="15.75" customHeight="1">
      <c r="B23" s="193" t="str">
        <f>'Indicators,16-12-21'!B16</f>
        <v>D11</v>
      </c>
      <c r="C23" s="84" t="str">
        <f>'Indicators,16-12-21'!C16</f>
        <v>Presence and position of stairs and/or elevators, or expansion options for stairs/elevators</v>
      </c>
      <c r="D23" s="84"/>
      <c r="E23" s="85"/>
      <c r="F23" s="168"/>
      <c r="G23" s="168" t="s">
        <v>21</v>
      </c>
      <c r="H23" s="168"/>
      <c r="I23" s="168"/>
      <c r="J23" s="86">
        <f t="shared" si="1"/>
        <v>1</v>
      </c>
      <c r="L23" s="159"/>
      <c r="O23" s="213"/>
    </row>
    <row r="24" spans="2:16" ht="15.75" customHeight="1">
      <c r="B24" s="193" t="str">
        <f>'Indicators,16-12-21'!B17</f>
        <v>D12</v>
      </c>
      <c r="C24" s="84" t="str">
        <f>'Indicators,16-12-21'!C17</f>
        <v xml:space="preserve">Multifunctional use of building or home/unit over time
</v>
      </c>
      <c r="D24" s="84"/>
      <c r="E24" s="85"/>
      <c r="F24" s="168"/>
      <c r="G24" s="168" t="s">
        <v>21</v>
      </c>
      <c r="H24" s="168"/>
      <c r="I24" s="168"/>
      <c r="J24" s="86">
        <f t="shared" si="1"/>
        <v>1</v>
      </c>
      <c r="L24" s="159" t="s">
        <v>37</v>
      </c>
      <c r="M24" s="152" t="s">
        <v>16</v>
      </c>
      <c r="O24" s="213"/>
    </row>
    <row r="25" spans="2:16" ht="15.75" customHeight="1">
      <c r="B25" s="193" t="str">
        <f>'Indicators,16-12-21'!B18</f>
        <v>D13</v>
      </c>
      <c r="C25" s="84" t="str">
        <f>'Indicators,16-12-21'!C18</f>
        <v>Load-bearing floors</v>
      </c>
      <c r="D25" s="84"/>
      <c r="E25" s="85"/>
      <c r="F25" s="168"/>
      <c r="G25" s="168" t="s">
        <v>21</v>
      </c>
      <c r="H25" s="168"/>
      <c r="I25" s="168"/>
      <c r="J25" s="86">
        <f t="shared" si="1"/>
        <v>1</v>
      </c>
      <c r="L25" s="159" t="s">
        <v>12</v>
      </c>
      <c r="M25" s="152">
        <v>0</v>
      </c>
      <c r="O25" s="213"/>
    </row>
    <row r="26" spans="2:16" ht="15.75" customHeight="1">
      <c r="B26" s="194" t="str">
        <f>'Indicators,16-12-21'!B19</f>
        <v>D14</v>
      </c>
      <c r="C26" s="170" t="str">
        <f>'Indicators,16-12-21'!C19</f>
        <v>Possibility of layout through a free floor plan</v>
      </c>
      <c r="D26" s="170"/>
      <c r="E26" s="171"/>
      <c r="F26" s="168"/>
      <c r="G26" s="168" t="s">
        <v>21</v>
      </c>
      <c r="H26" s="168"/>
      <c r="I26" s="168"/>
      <c r="J26" s="87">
        <f t="shared" si="1"/>
        <v>1</v>
      </c>
      <c r="L26" s="159" t="s">
        <v>38</v>
      </c>
      <c r="M26" s="152">
        <v>1</v>
      </c>
      <c r="O26" s="213"/>
    </row>
    <row r="27" spans="2:16" ht="15.75" customHeight="1">
      <c r="B27" s="195" t="str">
        <f>'Indicators,16-12-21'!B8</f>
        <v>D03</v>
      </c>
      <c r="C27" s="172" t="str">
        <f>'Indicators,16-12-21'!C8</f>
        <v>Free floor height</v>
      </c>
      <c r="D27" s="172"/>
      <c r="E27" s="173" t="s">
        <v>39</v>
      </c>
      <c r="F27" s="174" t="str">
        <f>IF(F15=0,"",F15)</f>
        <v/>
      </c>
      <c r="G27" s="175" t="s">
        <v>40</v>
      </c>
      <c r="H27" s="176"/>
      <c r="I27" s="177"/>
      <c r="J27" s="178" t="s">
        <v>41</v>
      </c>
      <c r="L27" s="159" t="s">
        <v>42</v>
      </c>
      <c r="M27" s="152">
        <v>2</v>
      </c>
      <c r="O27" s="213"/>
    </row>
    <row r="28" spans="2:16" ht="15.75" customHeight="1">
      <c r="B28" s="196" t="str">
        <f>'Indicators,16-12-21'!B15</f>
        <v>D10</v>
      </c>
      <c r="C28" s="74" t="str">
        <f>'Indicators,16-12-21'!C15</f>
        <v xml:space="preserve">Daylighting
</v>
      </c>
      <c r="D28" s="75"/>
      <c r="E28" s="76" t="s">
        <v>43</v>
      </c>
      <c r="F28" s="167" t="str">
        <f>IF(F22=0,"",F22)</f>
        <v/>
      </c>
      <c r="G28" s="77" t="s">
        <v>44</v>
      </c>
      <c r="H28" s="78"/>
      <c r="I28" s="79"/>
      <c r="J28" s="80" t="s">
        <v>41</v>
      </c>
      <c r="L28" s="159" t="s">
        <v>15</v>
      </c>
      <c r="M28" s="152">
        <v>4</v>
      </c>
      <c r="O28" s="213"/>
    </row>
    <row r="29" spans="2:16" ht="15.75" customHeight="1">
      <c r="B29" s="197" t="str">
        <f>'Indicators,16-12-21'!B20</f>
        <v>A01</v>
      </c>
      <c r="C29" s="88" t="str">
        <f>'Indicators,16-12-21'!C20</f>
        <v xml:space="preserve">Utility function: disposable part of the building, horizontally or  vertically, or disposable user unit.
</v>
      </c>
      <c r="D29" s="88"/>
      <c r="E29" s="82"/>
      <c r="F29" s="183"/>
      <c r="G29" s="183" t="s">
        <v>21</v>
      </c>
      <c r="H29" s="183"/>
      <c r="I29" s="184"/>
      <c r="J29" s="83">
        <f>IF($O$20=0,0,IF($L$22=1,1,IF($F29="x",0,IF($G29="x",1,IF($H29="x",2,IF($I29="x",4))))))</f>
        <v>1</v>
      </c>
      <c r="L29" s="159"/>
      <c r="O29" s="213"/>
    </row>
    <row r="30" spans="2:16" ht="15.75" customHeight="1">
      <c r="B30" s="193" t="str">
        <f>'Indicators,16-12-21'!B21</f>
        <v>A02</v>
      </c>
      <c r="C30" s="84" t="str">
        <f>'Indicators,16-12-21'!C21</f>
        <v>Utility function: possibility of dividing the area into units of the size indicated.</v>
      </c>
      <c r="D30" s="84"/>
      <c r="E30" s="89"/>
      <c r="F30" s="185"/>
      <c r="G30" s="185" t="s">
        <v>21</v>
      </c>
      <c r="H30" s="185"/>
      <c r="I30" s="186"/>
      <c r="J30" s="86">
        <f t="shared" ref="J30:J32" si="2">IF($O$20=0,0,IF($L$22=1,1,IF($F30="x",0,IF($G30="x",1,IF($H30="x",2,IF($I30="x",4))))))</f>
        <v>1</v>
      </c>
      <c r="L30" s="159"/>
      <c r="O30" s="213"/>
    </row>
    <row r="31" spans="2:16" ht="15.75" customHeight="1">
      <c r="B31" s="193" t="str">
        <f>'Indicators,16-12-21'!B22</f>
        <v>A03</v>
      </c>
      <c r="C31" s="84" t="str">
        <f>'Indicators,16-12-21'!C22</f>
        <v>Utility function: user unit self-reliance provisions.</v>
      </c>
      <c r="D31" s="84"/>
      <c r="E31" s="89"/>
      <c r="F31" s="185"/>
      <c r="G31" s="185" t="s">
        <v>21</v>
      </c>
      <c r="H31" s="185"/>
      <c r="I31" s="186"/>
      <c r="J31" s="86">
        <f t="shared" si="2"/>
        <v>1</v>
      </c>
      <c r="L31" s="159"/>
      <c r="O31" s="213"/>
    </row>
    <row r="32" spans="2:16" ht="15.75" customHeight="1">
      <c r="B32" s="193" t="str">
        <f>'Indicators,16-12-21'!B23</f>
        <v>A04</v>
      </c>
      <c r="C32" s="84" t="str">
        <f>'Indicators,16-12-21'!C23</f>
        <v>Utility function: openable windows</v>
      </c>
      <c r="D32" s="84"/>
      <c r="E32" s="89"/>
      <c r="F32" s="185"/>
      <c r="G32" s="185" t="s">
        <v>21</v>
      </c>
      <c r="H32" s="185"/>
      <c r="I32" s="186"/>
      <c r="J32" s="86">
        <f t="shared" si="2"/>
        <v>1</v>
      </c>
      <c r="L32" s="159"/>
      <c r="O32" s="213"/>
    </row>
    <row r="33" spans="1:23" ht="15.75" customHeight="1">
      <c r="B33" s="193" t="str">
        <f>'Indicators,16-12-21'!B24</f>
        <v>A05</v>
      </c>
      <c r="C33" s="84" t="str">
        <f>'Indicators,16-12-21'!C24</f>
        <v>Demountable façade</v>
      </c>
      <c r="D33" s="84"/>
      <c r="E33" s="89"/>
      <c r="F33" s="185"/>
      <c r="G33" s="185" t="s">
        <v>21</v>
      </c>
      <c r="H33" s="185"/>
      <c r="I33" s="186"/>
      <c r="J33" s="86">
        <f t="shared" ref="J33:J36" si="3">IF($L$22=1,1,IF($F33="x",0,IF($G33="x",1,IF($H33="x",2,IF($I33="x",4)))))</f>
        <v>1</v>
      </c>
      <c r="O33" s="213"/>
    </row>
    <row r="34" spans="1:23" ht="15.75" customHeight="1">
      <c r="B34" s="193" t="str">
        <f>'Indicators,16-12-21'!B25</f>
        <v>A06</v>
      </c>
      <c r="C34" s="84" t="str">
        <f>'Indicators,16-12-21'!C25</f>
        <v xml:space="preserve">Façade (components) adaptability
</v>
      </c>
      <c r="D34" s="84"/>
      <c r="E34" s="89"/>
      <c r="F34" s="185"/>
      <c r="G34" s="185" t="s">
        <v>21</v>
      </c>
      <c r="H34" s="185"/>
      <c r="I34" s="186"/>
      <c r="J34" s="86">
        <f t="shared" si="3"/>
        <v>1</v>
      </c>
      <c r="O34" s="213"/>
    </row>
    <row r="35" spans="1:23" s="52" customFormat="1" ht="15.75" customHeight="1">
      <c r="A35" s="7"/>
      <c r="B35" s="193" t="str">
        <f>'Indicators,16-12-21'!B26</f>
        <v>A07</v>
      </c>
      <c r="C35" s="84" t="str">
        <f>'Indicators,16-12-21'!C26</f>
        <v>Possibility of balconies on the façade</v>
      </c>
      <c r="D35" s="84"/>
      <c r="E35" s="89"/>
      <c r="F35" s="185"/>
      <c r="G35" s="185" t="s">
        <v>21</v>
      </c>
      <c r="H35" s="185"/>
      <c r="I35" s="186"/>
      <c r="J35" s="86">
        <f t="shared" si="3"/>
        <v>1</v>
      </c>
      <c r="K35" s="216"/>
      <c r="L35" s="156"/>
      <c r="M35" s="152"/>
      <c r="N35" s="215"/>
      <c r="O35" s="215"/>
      <c r="P35" s="216"/>
      <c r="Q35" s="216"/>
      <c r="R35" s="179"/>
      <c r="S35" s="179"/>
      <c r="T35" s="225"/>
      <c r="U35" s="225"/>
      <c r="V35" s="225"/>
      <c r="W35" s="225"/>
    </row>
    <row r="36" spans="1:23" ht="15.75" customHeight="1">
      <c r="B36" s="198" t="str">
        <f>'Indicators,16-12-21'!B27</f>
        <v>A08</v>
      </c>
      <c r="C36" s="90" t="str">
        <f>'Indicators,16-12-21'!C27</f>
        <v>Vertical expansion: accessibility</v>
      </c>
      <c r="D36" s="90"/>
      <c r="E36" s="91"/>
      <c r="F36" s="187"/>
      <c r="G36" s="187" t="s">
        <v>21</v>
      </c>
      <c r="H36" s="187"/>
      <c r="I36" s="188"/>
      <c r="J36" s="92">
        <f t="shared" si="3"/>
        <v>1</v>
      </c>
      <c r="L36" s="221"/>
      <c r="M36" s="158"/>
    </row>
    <row r="37" spans="1:23" ht="24.75" customHeight="1">
      <c r="A37" s="154"/>
      <c r="B37" s="338" t="s">
        <v>45</v>
      </c>
      <c r="C37" s="339"/>
      <c r="D37" s="339"/>
      <c r="E37" s="339"/>
      <c r="F37" s="339"/>
      <c r="G37" s="339"/>
      <c r="H37" s="339"/>
      <c r="I37" s="340"/>
      <c r="J37" s="322" t="s">
        <v>46</v>
      </c>
      <c r="M37" s="153"/>
    </row>
    <row r="38" spans="1:23" ht="24.75" customHeight="1">
      <c r="B38" s="199"/>
      <c r="C38" s="93" t="s">
        <v>47</v>
      </c>
      <c r="D38" s="93"/>
      <c r="E38" s="93"/>
      <c r="F38" s="93"/>
      <c r="G38" s="93"/>
      <c r="H38" s="94"/>
      <c r="I38" s="95" t="s">
        <v>48</v>
      </c>
      <c r="J38" s="323" t="e">
        <f>J41*0.25</f>
        <v>#N/A</v>
      </c>
      <c r="M38" s="153"/>
    </row>
    <row r="39" spans="1:23" ht="15.75" customHeight="1">
      <c r="B39" s="200"/>
      <c r="C39" s="200"/>
      <c r="D39" s="200"/>
      <c r="E39" s="200"/>
      <c r="F39" s="200"/>
      <c r="G39" s="200"/>
      <c r="H39" s="200"/>
      <c r="I39" s="200"/>
      <c r="J39" s="200"/>
      <c r="M39" s="153"/>
    </row>
    <row r="40" spans="1:23" ht="15.75" customHeight="1">
      <c r="B40" s="200"/>
      <c r="C40" s="93"/>
      <c r="D40" s="93"/>
      <c r="E40" s="93"/>
      <c r="F40" s="93"/>
      <c r="G40" s="341" t="s">
        <v>49</v>
      </c>
      <c r="H40" s="341"/>
      <c r="I40" s="342"/>
      <c r="J40" s="96" t="s">
        <v>50</v>
      </c>
      <c r="M40" s="153"/>
    </row>
    <row r="41" spans="1:23" ht="15.75" customHeight="1">
      <c r="B41" s="200"/>
      <c r="C41" s="93" t="s">
        <v>51</v>
      </c>
      <c r="D41" s="93"/>
      <c r="E41" s="93"/>
      <c r="F41" s="321" t="s">
        <v>52</v>
      </c>
      <c r="G41" s="319"/>
      <c r="H41" s="319">
        <v>1</v>
      </c>
      <c r="I41" s="320"/>
      <c r="J41" s="324" t="e">
        <f>G42*J42+G43*J43</f>
        <v>#N/A</v>
      </c>
      <c r="M41" s="153"/>
    </row>
    <row r="42" spans="1:23" ht="15.75" customHeight="1">
      <c r="B42" s="201"/>
      <c r="C42" s="97" t="s">
        <v>53</v>
      </c>
      <c r="D42" s="97"/>
      <c r="E42" s="97"/>
      <c r="F42" s="97"/>
      <c r="G42" s="343" t="e">
        <f>'Weighting factors,14-06-21'!AD4</f>
        <v>#N/A</v>
      </c>
      <c r="H42" s="343"/>
      <c r="I42" s="344"/>
      <c r="J42" s="182" t="e">
        <f>J46</f>
        <v>#N/A</v>
      </c>
      <c r="N42" s="213"/>
      <c r="O42" s="213"/>
    </row>
    <row r="43" spans="1:23" ht="15.75" customHeight="1">
      <c r="B43" s="201"/>
      <c r="C43" s="97" t="s">
        <v>54</v>
      </c>
      <c r="D43" s="97"/>
      <c r="E43" s="97"/>
      <c r="F43" s="97"/>
      <c r="G43" s="345" t="e">
        <f>'Weighting factors,14-06-21'!AD15</f>
        <v>#N/A</v>
      </c>
      <c r="H43" s="345"/>
      <c r="I43" s="346"/>
      <c r="J43" s="182" t="e">
        <f>J113</f>
        <v>#N/A</v>
      </c>
      <c r="N43" s="213"/>
      <c r="O43" s="213"/>
    </row>
    <row r="44" spans="1:23" ht="15.75" customHeight="1">
      <c r="B44" s="201"/>
      <c r="C44" s="98"/>
      <c r="D44" s="98"/>
      <c r="E44" s="98"/>
      <c r="F44" s="99"/>
      <c r="G44" s="100"/>
      <c r="H44" s="100"/>
      <c r="I44" s="100"/>
      <c r="J44" s="101"/>
    </row>
    <row r="45" spans="1:23" ht="15.75" customHeight="1">
      <c r="B45" s="202"/>
      <c r="C45" s="102" t="s">
        <v>53</v>
      </c>
      <c r="D45" s="103"/>
      <c r="E45" s="103"/>
      <c r="F45" s="104"/>
      <c r="G45" s="329" t="s">
        <v>55</v>
      </c>
      <c r="H45" s="330"/>
      <c r="I45" s="330"/>
      <c r="J45" s="105" t="s">
        <v>46</v>
      </c>
    </row>
    <row r="46" spans="1:23" ht="15.75" customHeight="1">
      <c r="B46" s="203"/>
      <c r="C46" s="103"/>
      <c r="D46" s="103"/>
      <c r="E46" s="103"/>
      <c r="F46" s="104" t="s">
        <v>16</v>
      </c>
      <c r="G46" s="106" t="s">
        <v>56</v>
      </c>
      <c r="H46" s="107" t="s">
        <v>57</v>
      </c>
      <c r="I46" s="108" t="s">
        <v>58</v>
      </c>
      <c r="J46" s="109" t="e">
        <f>J47+J66+J90</f>
        <v>#N/A</v>
      </c>
      <c r="M46" s="159"/>
    </row>
    <row r="47" spans="1:23" ht="15.75" customHeight="1">
      <c r="B47" s="204"/>
      <c r="C47" s="110" t="s">
        <v>59</v>
      </c>
      <c r="D47" s="111"/>
      <c r="E47" s="111"/>
      <c r="F47" s="112"/>
      <c r="G47" s="113" t="e">
        <f>'Weighting factors,14-06-21'!AD5</f>
        <v>#N/A</v>
      </c>
      <c r="H47" s="36"/>
      <c r="I47" s="114"/>
      <c r="J47" s="161" t="e">
        <f>J48+J53+J62</f>
        <v>#N/A</v>
      </c>
    </row>
    <row r="48" spans="1:23" ht="15.75" customHeight="1">
      <c r="B48" s="205"/>
      <c r="C48" s="115" t="s">
        <v>60</v>
      </c>
      <c r="D48" s="115"/>
      <c r="E48" s="115"/>
      <c r="F48" s="116"/>
      <c r="G48" s="117"/>
      <c r="H48" s="38" t="e">
        <f>'Weighting factors,14-06-21'!AD6</f>
        <v>#N/A</v>
      </c>
      <c r="I48" s="118"/>
      <c r="J48" s="162" t="e">
        <f>SUM(J49:J52)</f>
        <v>#N/A</v>
      </c>
      <c r="L48" s="222">
        <f>SUM(I49:I52)</f>
        <v>1</v>
      </c>
    </row>
    <row r="49" spans="2:15" ht="15.75" customHeight="1">
      <c r="B49" s="206" t="str">
        <f>'Indicators,16-12-21'!B9</f>
        <v>D04</v>
      </c>
      <c r="C49" s="119" t="str">
        <f>VLOOKUP(B49,$B$11:$C$26,2,FALSE)</f>
        <v>Oversizing building space/reservation for electrical &amp; mechanical engineering (E&amp;W) systems and shafts</v>
      </c>
      <c r="D49" s="119"/>
      <c r="E49" s="119"/>
      <c r="F49" s="120">
        <f>VLOOKUP(B49,$B$11:$J$26,9)</f>
        <v>1</v>
      </c>
      <c r="G49" s="121"/>
      <c r="H49" s="122"/>
      <c r="I49" s="123">
        <f>IF($O$20=1,1/(3*1+1*0.25),1/(3*1+0*0.25))</f>
        <v>0.30769230769230771</v>
      </c>
      <c r="J49" s="163" t="e">
        <f>F49*$G$47*$H$48*I49</f>
        <v>#N/A</v>
      </c>
      <c r="L49" s="222"/>
    </row>
    <row r="50" spans="2:15" ht="15.75" customHeight="1">
      <c r="B50" s="207" t="str">
        <f>'Indicators,16-12-21'!B10</f>
        <v>D05</v>
      </c>
      <c r="C50" s="124" t="str">
        <f>VLOOKUP(B50,$B$11:$C$26,2,FALSE)</f>
        <v xml:space="preserve">Expandable building or dwelling/unit, horizontally and/or vertically
</v>
      </c>
      <c r="D50" s="124"/>
      <c r="E50" s="124"/>
      <c r="F50" s="120">
        <f>VLOOKUP(B50,$B$11:$J$26,9)</f>
        <v>1</v>
      </c>
      <c r="G50" s="125"/>
      <c r="H50" s="126"/>
      <c r="I50" s="123">
        <f t="shared" ref="I50" si="4">IF($O$20=1,1/(3*1+1*0.25),1/(3*1+0*0.25))</f>
        <v>0.30769230769230771</v>
      </c>
      <c r="J50" s="164" t="e">
        <f>F50*$G$47*$H$48*I50</f>
        <v>#N/A</v>
      </c>
      <c r="L50" s="222"/>
    </row>
    <row r="51" spans="2:15" ht="15.75" customHeight="1" collapsed="1">
      <c r="B51" s="207" t="str">
        <f>'Indicators,16-12-21'!B11</f>
        <v>D06</v>
      </c>
      <c r="C51" s="124" t="str">
        <f>VLOOKUP(B51,$B$11:$C$26,2,FALSE)</f>
        <v xml:space="preserve">Adjustability of systems
</v>
      </c>
      <c r="D51" s="124"/>
      <c r="E51" s="124"/>
      <c r="F51" s="120">
        <f>VLOOKUP(B51,$B$11:$J$26,9)</f>
        <v>1</v>
      </c>
      <c r="G51" s="125"/>
      <c r="H51" s="126"/>
      <c r="I51" s="123">
        <f>IF($O$20=1,1/(3*1+1*0.25),1/(3*1+0*0.25))</f>
        <v>0.30769230769230771</v>
      </c>
      <c r="J51" s="164" t="e">
        <f>F51*$G$47*$H$48*I51</f>
        <v>#N/A</v>
      </c>
      <c r="L51" s="222"/>
    </row>
    <row r="52" spans="2:15" ht="15.75" customHeight="1">
      <c r="B52" s="208" t="str">
        <f>'Indicators,16-12-21'!B21</f>
        <v>A02</v>
      </c>
      <c r="C52" s="128" t="str">
        <f>VLOOKUP(B52,$B$29:$C$36,2,FALSE)</f>
        <v>Utility function: possibility of dividing the area into units of the size indicated.</v>
      </c>
      <c r="D52" s="128"/>
      <c r="E52" s="128"/>
      <c r="F52" s="129">
        <f>VLOOKUP(B52,$B$29:$J$36,9)</f>
        <v>1</v>
      </c>
      <c r="G52" s="130"/>
      <c r="H52" s="131"/>
      <c r="I52" s="132">
        <f>IF($O$20=1,0.25/(3*1+1*0.25),0)</f>
        <v>7.6923076923076927E-2</v>
      </c>
      <c r="J52" s="165" t="e">
        <f t="shared" ref="J52" si="5">F52*$G$47*$H$48*I52</f>
        <v>#N/A</v>
      </c>
      <c r="L52" s="222"/>
      <c r="N52" s="213"/>
      <c r="O52" s="213"/>
    </row>
    <row r="53" spans="2:15" ht="15.75" customHeight="1">
      <c r="B53" s="205"/>
      <c r="C53" s="115" t="s">
        <v>61</v>
      </c>
      <c r="D53" s="115"/>
      <c r="E53" s="115"/>
      <c r="F53" s="116"/>
      <c r="G53" s="117"/>
      <c r="H53" s="38" t="e">
        <f>'Weighting factors,14-06-21'!AD7</f>
        <v>#N/A</v>
      </c>
      <c r="I53" s="118"/>
      <c r="J53" s="162" t="e">
        <f>SUM(J54:J61)</f>
        <v>#N/A</v>
      </c>
      <c r="L53" s="222">
        <f>SUM(I54:I61)</f>
        <v>1</v>
      </c>
    </row>
    <row r="54" spans="2:15" ht="15.75" customHeight="1">
      <c r="B54" s="206" t="str">
        <f>'Indicators,16-12-21'!B4</f>
        <v>D01a</v>
      </c>
      <c r="C54" s="119" t="str">
        <f t="shared" ref="C54:C60" si="6">VLOOKUP(B54,$B$11:$C$26,2,FALSE)</f>
        <v>Distinction between load-bearing structure and systems (use dynamics)</v>
      </c>
      <c r="D54" s="119"/>
      <c r="E54" s="119"/>
      <c r="F54" s="120">
        <f t="shared" ref="F54:F60" si="7">VLOOKUP(B54,$B$11:$J$26,9)</f>
        <v>1</v>
      </c>
      <c r="G54" s="121"/>
      <c r="H54" s="122"/>
      <c r="I54" s="123">
        <f>IF($O$20=1,1/(6*1+1*0.25),1/(6*1+0*0.25))</f>
        <v>0.16</v>
      </c>
      <c r="J54" s="163" t="e">
        <f t="shared" ref="J54:J61" si="8">F54*$G$47*$H$53*I54</f>
        <v>#N/A</v>
      </c>
      <c r="L54" s="222"/>
      <c r="N54" s="213"/>
      <c r="O54" s="213"/>
    </row>
    <row r="55" spans="2:15" ht="15.75" customHeight="1">
      <c r="B55" s="207" t="str">
        <f>'Indicators,16-12-21'!B6</f>
        <v>D02a</v>
      </c>
      <c r="C55" s="124" t="str">
        <f t="shared" si="6"/>
        <v>Excess building area</v>
      </c>
      <c r="D55" s="124"/>
      <c r="E55" s="124"/>
      <c r="F55" s="120">
        <f t="shared" si="7"/>
        <v>1</v>
      </c>
      <c r="G55" s="125"/>
      <c r="H55" s="126"/>
      <c r="I55" s="127">
        <f>IF($O$20=1,1/2/(6*1+1*0.25),1/2/(6*1+0*0.25))</f>
        <v>0.08</v>
      </c>
      <c r="J55" s="164" t="e">
        <f t="shared" ref="J55:J60" si="9">F55*$G$47*$H$53*I55</f>
        <v>#N/A</v>
      </c>
      <c r="L55" s="222"/>
    </row>
    <row r="56" spans="2:15" ht="15.75" customHeight="1">
      <c r="B56" s="207" t="str">
        <f>'Indicators,16-12-21'!B7</f>
        <v>D02b</v>
      </c>
      <c r="C56" s="124" t="str">
        <f t="shared" si="6"/>
        <v>Oversized home</v>
      </c>
      <c r="D56" s="124"/>
      <c r="E56" s="124"/>
      <c r="F56" s="120">
        <f t="shared" si="7"/>
        <v>1</v>
      </c>
      <c r="G56" s="125"/>
      <c r="H56" s="126"/>
      <c r="I56" s="127">
        <f>IF($O$20=1,1/2/(6*1+1*0.25),1/2/(6*1+0*0.25))</f>
        <v>0.08</v>
      </c>
      <c r="J56" s="164" t="e">
        <f t="shared" si="9"/>
        <v>#N/A</v>
      </c>
      <c r="L56" s="222"/>
    </row>
    <row r="57" spans="2:15" ht="15.75" customHeight="1">
      <c r="B57" s="207" t="str">
        <f>'Indicators,16-12-21'!B11</f>
        <v>D06</v>
      </c>
      <c r="C57" s="124" t="str">
        <f t="shared" si="6"/>
        <v xml:space="preserve">Adjustability of systems
</v>
      </c>
      <c r="D57" s="124"/>
      <c r="E57" s="124"/>
      <c r="F57" s="120">
        <f t="shared" si="7"/>
        <v>1</v>
      </c>
      <c r="G57" s="125"/>
      <c r="H57" s="126"/>
      <c r="I57" s="123">
        <f t="shared" ref="I57:I60" si="10">IF($O$20=1,1/(6*1+1*0.25),1/(6*1+0*0.25))</f>
        <v>0.16</v>
      </c>
      <c r="J57" s="164" t="e">
        <f t="shared" si="9"/>
        <v>#N/A</v>
      </c>
      <c r="L57" s="222"/>
      <c r="N57" s="213"/>
      <c r="O57" s="213"/>
    </row>
    <row r="58" spans="2:15" ht="15.75" customHeight="1">
      <c r="B58" s="207" t="str">
        <f>'Indicators,16-12-21'!B13</f>
        <v>D08</v>
      </c>
      <c r="C58" s="124" t="str">
        <f t="shared" si="6"/>
        <v xml:space="preserve">Disconnectability and accessibility of system components
</v>
      </c>
      <c r="D58" s="124"/>
      <c r="E58" s="124"/>
      <c r="F58" s="120">
        <f t="shared" si="7"/>
        <v>1</v>
      </c>
      <c r="G58" s="125"/>
      <c r="H58" s="126"/>
      <c r="I58" s="123">
        <f t="shared" si="10"/>
        <v>0.16</v>
      </c>
      <c r="J58" s="164" t="e">
        <f t="shared" si="9"/>
        <v>#N/A</v>
      </c>
      <c r="L58" s="222"/>
    </row>
    <row r="59" spans="2:15" ht="15.75" customHeight="1">
      <c r="B59" s="207" t="str">
        <f>'Indicators,16-12-21'!B16</f>
        <v>D11</v>
      </c>
      <c r="C59" s="124" t="str">
        <f t="shared" si="6"/>
        <v>Presence and position of stairs and/or elevators, or expansion options for stairs/elevators</v>
      </c>
      <c r="D59" s="124"/>
      <c r="E59" s="124"/>
      <c r="F59" s="120">
        <f t="shared" si="7"/>
        <v>1</v>
      </c>
      <c r="G59" s="125"/>
      <c r="H59" s="126"/>
      <c r="I59" s="123">
        <f t="shared" si="10"/>
        <v>0.16</v>
      </c>
      <c r="J59" s="164" t="e">
        <f t="shared" si="9"/>
        <v>#N/A</v>
      </c>
      <c r="L59" s="222"/>
      <c r="N59" s="213"/>
      <c r="O59" s="213"/>
    </row>
    <row r="60" spans="2:15" ht="15.75" customHeight="1" collapsed="1">
      <c r="B60" s="207" t="str">
        <f>'Indicators,16-12-21'!B17</f>
        <v>D12</v>
      </c>
      <c r="C60" s="124" t="str">
        <f t="shared" si="6"/>
        <v xml:space="preserve">Multifunctional use of building or home/unit over time
</v>
      </c>
      <c r="D60" s="124"/>
      <c r="E60" s="124"/>
      <c r="F60" s="120">
        <f t="shared" si="7"/>
        <v>1</v>
      </c>
      <c r="G60" s="125"/>
      <c r="H60" s="126"/>
      <c r="I60" s="123">
        <f t="shared" si="10"/>
        <v>0.16</v>
      </c>
      <c r="J60" s="164" t="e">
        <f t="shared" si="9"/>
        <v>#N/A</v>
      </c>
      <c r="L60" s="222"/>
    </row>
    <row r="61" spans="2:15" ht="15.75" customHeight="1">
      <c r="B61" s="207" t="str">
        <f>'Indicators,16-12-21'!B20</f>
        <v>A01</v>
      </c>
      <c r="C61" s="133" t="str">
        <f>VLOOKUP(B61,$B$29:$C$36,2,FALSE)</f>
        <v xml:space="preserve">Utility function: disposable part of the building, horizontally or  vertically, or disposable user unit.
</v>
      </c>
      <c r="D61" s="133"/>
      <c r="E61" s="128"/>
      <c r="F61" s="129">
        <f>VLOOKUP(B61,$B$29:$J$36,9)</f>
        <v>1</v>
      </c>
      <c r="G61" s="134"/>
      <c r="H61" s="135"/>
      <c r="I61" s="136">
        <f>IF($O$20=1,0.25/(6*1+1*0.25),0)</f>
        <v>0.04</v>
      </c>
      <c r="J61" s="165" t="e">
        <f t="shared" si="8"/>
        <v>#N/A</v>
      </c>
      <c r="L61" s="222"/>
    </row>
    <row r="62" spans="2:15" ht="15.75" customHeight="1">
      <c r="B62" s="205"/>
      <c r="C62" s="115" t="s">
        <v>62</v>
      </c>
      <c r="D62" s="115"/>
      <c r="E62" s="115"/>
      <c r="F62" s="116"/>
      <c r="G62" s="117"/>
      <c r="H62" s="38" t="e">
        <f>'Weighting factors,14-06-21'!AD8</f>
        <v>#N/A</v>
      </c>
      <c r="I62" s="118"/>
      <c r="J62" s="162" t="e">
        <f>SUM(J63:J65)</f>
        <v>#N/A</v>
      </c>
      <c r="L62" s="222">
        <f>SUM(I63:I65)</f>
        <v>1</v>
      </c>
    </row>
    <row r="63" spans="2:15" ht="15.75" customHeight="1">
      <c r="B63" s="206" t="str">
        <f>'Indicators,16-12-21'!B4</f>
        <v>D01a</v>
      </c>
      <c r="C63" s="119" t="str">
        <f>VLOOKUP(B63,$B$11:$C$26,2,FALSE)</f>
        <v>Distinction between load-bearing structure and systems (use dynamics)</v>
      </c>
      <c r="D63" s="119"/>
      <c r="E63" s="119"/>
      <c r="F63" s="120">
        <f>VLOOKUP(B63,$B$11:$J$26,9)</f>
        <v>1</v>
      </c>
      <c r="G63" s="121"/>
      <c r="H63" s="122"/>
      <c r="I63" s="123">
        <f>IF($O$20=1,1/(3*1+0*0.25),1/(3*1+0*0.25))</f>
        <v>0.33333333333333331</v>
      </c>
      <c r="J63" s="163" t="e">
        <f>F63*$G$47*$H$62*I63</f>
        <v>#N/A</v>
      </c>
      <c r="L63" s="222"/>
    </row>
    <row r="64" spans="2:15" ht="15.75" customHeight="1" collapsed="1">
      <c r="B64" s="207" t="str">
        <f>'Indicators,16-12-21'!B12</f>
        <v>D07</v>
      </c>
      <c r="C64" s="124" t="str">
        <f>VLOOKUP(B64,$B$11:$C$26,2,FALSE)</f>
        <v xml:space="preserve">Relocatable interior walls
</v>
      </c>
      <c r="D64" s="124"/>
      <c r="E64" s="124"/>
      <c r="F64" s="120">
        <f>VLOOKUP(B64,$B$11:$J$26,9)</f>
        <v>1</v>
      </c>
      <c r="G64" s="125"/>
      <c r="H64" s="126"/>
      <c r="I64" s="123">
        <f t="shared" ref="I64:I65" si="11">IF($O$20=1,1/(3*1+0*0.25),1/(3*1+0*0.25))</f>
        <v>0.33333333333333331</v>
      </c>
      <c r="J64" s="164" t="e">
        <f>F64*$G$47*$H$62*I64</f>
        <v>#N/A</v>
      </c>
      <c r="L64" s="222"/>
    </row>
    <row r="65" spans="1:23" ht="15.75" customHeight="1">
      <c r="B65" s="208" t="str">
        <f>'Indicators,16-12-21'!B13</f>
        <v>D08</v>
      </c>
      <c r="C65" s="128" t="str">
        <f>VLOOKUP(B65,$B$11:$C$26,2,FALSE)</f>
        <v xml:space="preserve">Disconnectability and accessibility of system components
</v>
      </c>
      <c r="D65" s="128"/>
      <c r="E65" s="128"/>
      <c r="F65" s="120">
        <f>VLOOKUP(B65,$B$11:$J$26,9)</f>
        <v>1</v>
      </c>
      <c r="G65" s="130"/>
      <c r="H65" s="131"/>
      <c r="I65" s="123">
        <f t="shared" si="11"/>
        <v>0.33333333333333331</v>
      </c>
      <c r="J65" s="165" t="e">
        <f>F65*$G$47*$H$62*I65</f>
        <v>#N/A</v>
      </c>
      <c r="L65" s="222"/>
      <c r="M65" s="159"/>
    </row>
    <row r="66" spans="1:23" s="137" customFormat="1" ht="15.75" customHeight="1">
      <c r="A66" s="7"/>
      <c r="B66" s="204"/>
      <c r="C66" s="110" t="s">
        <v>63</v>
      </c>
      <c r="D66" s="111"/>
      <c r="E66" s="111"/>
      <c r="F66" s="112"/>
      <c r="G66" s="113" t="e">
        <f>'Weighting factors,14-06-21'!AD9</f>
        <v>#N/A</v>
      </c>
      <c r="H66" s="36"/>
      <c r="I66" s="114"/>
      <c r="J66" s="161" t="e">
        <f>J67+J80</f>
        <v>#N/A</v>
      </c>
      <c r="K66" s="218"/>
      <c r="L66" s="222"/>
      <c r="M66" s="152"/>
      <c r="N66" s="217"/>
      <c r="O66" s="217"/>
      <c r="P66" s="218"/>
      <c r="Q66" s="218"/>
      <c r="R66" s="181"/>
      <c r="S66" s="181"/>
      <c r="T66" s="226"/>
      <c r="U66" s="226"/>
      <c r="V66" s="226"/>
      <c r="W66" s="226"/>
    </row>
    <row r="67" spans="1:23" ht="15.75" customHeight="1">
      <c r="B67" s="205"/>
      <c r="C67" s="115" t="s">
        <v>64</v>
      </c>
      <c r="D67" s="115"/>
      <c r="E67" s="115"/>
      <c r="F67" s="116"/>
      <c r="G67" s="117"/>
      <c r="H67" s="38" t="e">
        <f>'Weighting factors,14-06-21'!AD10</f>
        <v>#N/A</v>
      </c>
      <c r="I67" s="118"/>
      <c r="J67" s="162" t="e">
        <f>IF($F$28="x",0,SUM(J68:J79))</f>
        <v>#N/A</v>
      </c>
      <c r="L67" s="222">
        <f>SUM(I68:I79)</f>
        <v>0.99999999999999989</v>
      </c>
    </row>
    <row r="68" spans="1:23" ht="15.75" customHeight="1">
      <c r="A68" s="160"/>
      <c r="B68" s="206" t="str">
        <f>'Indicators,16-12-21'!B4</f>
        <v>D01a</v>
      </c>
      <c r="C68" s="119" t="str">
        <f t="shared" ref="C68:C78" si="12">VLOOKUP(B68,$B$11:$C$26,2,FALSE)</f>
        <v>Distinction between load-bearing structure and systems (use dynamics)</v>
      </c>
      <c r="D68" s="119"/>
      <c r="E68" s="119"/>
      <c r="F68" s="120">
        <f t="shared" ref="F68:F78" si="13">VLOOKUP(B68,$B$11:$J$26,9)</f>
        <v>1</v>
      </c>
      <c r="G68" s="121"/>
      <c r="H68" s="122"/>
      <c r="I68" s="123">
        <f>IF($O$20=1,1/(10*1+1*0.25),1/(10*1+0*0.25))</f>
        <v>9.7560975609756101E-2</v>
      </c>
      <c r="J68" s="163" t="e">
        <f>F68*$G$66*$H$67*I68</f>
        <v>#N/A</v>
      </c>
      <c r="L68" s="222"/>
    </row>
    <row r="69" spans="1:23" ht="15.75" customHeight="1">
      <c r="B69" s="207" t="str">
        <f>'Indicators,16-12-21'!B6</f>
        <v>D02a</v>
      </c>
      <c r="C69" s="119" t="str">
        <f t="shared" si="12"/>
        <v>Excess building area</v>
      </c>
      <c r="D69" s="124"/>
      <c r="E69" s="124"/>
      <c r="F69" s="120">
        <f t="shared" si="13"/>
        <v>1</v>
      </c>
      <c r="G69" s="125"/>
      <c r="H69" s="126"/>
      <c r="I69" s="123">
        <f>IF($O$20=1,1/2/(10*1+1*0.25),1/2/(10*1+0*0.25))</f>
        <v>4.878048780487805E-2</v>
      </c>
      <c r="J69" s="164" t="e">
        <f>F69*$G$66*$H$67*I69</f>
        <v>#N/A</v>
      </c>
      <c r="L69" s="222"/>
    </row>
    <row r="70" spans="1:23" ht="15.75" customHeight="1">
      <c r="B70" s="207" t="str">
        <f>'Indicators,16-12-21'!B7</f>
        <v>D02b</v>
      </c>
      <c r="C70" s="119" t="str">
        <f t="shared" si="12"/>
        <v>Oversized home</v>
      </c>
      <c r="D70" s="124"/>
      <c r="E70" s="124"/>
      <c r="F70" s="120">
        <f t="shared" si="13"/>
        <v>1</v>
      </c>
      <c r="G70" s="125"/>
      <c r="H70" s="126"/>
      <c r="I70" s="123">
        <f>IF($O$20=1,1/2/(10*1+1*0.25),1/2/(10*1+0*0.25))</f>
        <v>4.878048780487805E-2</v>
      </c>
      <c r="J70" s="164" t="e">
        <f>F70*$G$66*$H$67*I70</f>
        <v>#N/A</v>
      </c>
      <c r="L70" s="222"/>
    </row>
    <row r="71" spans="1:23" ht="15.75" customHeight="1">
      <c r="B71" s="207" t="str">
        <f>'Indicators,16-12-21'!B8</f>
        <v>D03</v>
      </c>
      <c r="C71" s="119" t="str">
        <f t="shared" si="12"/>
        <v>Free floor height</v>
      </c>
      <c r="D71" s="124"/>
      <c r="E71" s="124"/>
      <c r="F71" s="120">
        <f t="shared" si="13"/>
        <v>1</v>
      </c>
      <c r="G71" s="125"/>
      <c r="H71" s="126"/>
      <c r="I71" s="123">
        <f t="shared" ref="I71:I78" si="14">IF($O$20=1,1/(10*1+1*0.25),1/(10*1+0*0.25))</f>
        <v>9.7560975609756101E-2</v>
      </c>
      <c r="J71" s="164" t="e">
        <f t="shared" ref="J71:J79" si="15">F71*$G$66*$H$67*I71</f>
        <v>#N/A</v>
      </c>
      <c r="L71" s="222"/>
    </row>
    <row r="72" spans="1:23" ht="15.75" customHeight="1">
      <c r="B72" s="207" t="str">
        <f>'Indicators,16-12-21'!B11</f>
        <v>D06</v>
      </c>
      <c r="C72" s="119" t="str">
        <f t="shared" si="12"/>
        <v xml:space="preserve">Adjustability of systems
</v>
      </c>
      <c r="D72" s="124"/>
      <c r="E72" s="124"/>
      <c r="F72" s="120">
        <f t="shared" si="13"/>
        <v>1</v>
      </c>
      <c r="G72" s="125"/>
      <c r="H72" s="126"/>
      <c r="I72" s="123">
        <f>IF($O$20=1,1/(10*1+1*0.25),1/(10*1+0*0.25))</f>
        <v>9.7560975609756101E-2</v>
      </c>
      <c r="J72" s="164" t="e">
        <f>F72*$G$66*$H$67*I72</f>
        <v>#N/A</v>
      </c>
      <c r="L72" s="222"/>
    </row>
    <row r="73" spans="1:23" ht="15.75" customHeight="1">
      <c r="B73" s="207" t="str">
        <f>'Indicators,16-12-21'!B12</f>
        <v>D07</v>
      </c>
      <c r="C73" s="119" t="str">
        <f t="shared" si="12"/>
        <v xml:space="preserve">Relocatable interior walls
</v>
      </c>
      <c r="D73" s="124"/>
      <c r="E73" s="124"/>
      <c r="F73" s="120">
        <f t="shared" si="13"/>
        <v>1</v>
      </c>
      <c r="G73" s="125"/>
      <c r="H73" s="126"/>
      <c r="I73" s="123">
        <f t="shared" si="14"/>
        <v>9.7560975609756101E-2</v>
      </c>
      <c r="J73" s="164" t="e">
        <f>F73*$G$66*$H$67*I73</f>
        <v>#N/A</v>
      </c>
      <c r="L73" s="222"/>
    </row>
    <row r="74" spans="1:23" ht="15.75" customHeight="1">
      <c r="B74" s="207" t="str">
        <f>'Indicators,16-12-21'!B13</f>
        <v>D08</v>
      </c>
      <c r="C74" s="119" t="str">
        <f t="shared" si="12"/>
        <v xml:space="preserve">Disconnectability and accessibility of system components
</v>
      </c>
      <c r="D74" s="124"/>
      <c r="E74" s="124"/>
      <c r="F74" s="120">
        <f t="shared" si="13"/>
        <v>1</v>
      </c>
      <c r="G74" s="125"/>
      <c r="H74" s="126"/>
      <c r="I74" s="123">
        <f t="shared" si="14"/>
        <v>9.7560975609756101E-2</v>
      </c>
      <c r="J74" s="164" t="e">
        <f>F74*$G$66*$H$67*I74</f>
        <v>#N/A</v>
      </c>
      <c r="L74" s="222"/>
    </row>
    <row r="75" spans="1:23" ht="15.75" customHeight="1">
      <c r="B75" s="207" t="str">
        <f>'Indicators,16-12-21'!B14</f>
        <v>D09</v>
      </c>
      <c r="C75" s="119" t="str">
        <f t="shared" si="12"/>
        <v>Positioning of load-bearing structure obstacles</v>
      </c>
      <c r="D75" s="124"/>
      <c r="E75" s="124"/>
      <c r="F75" s="120">
        <f t="shared" si="13"/>
        <v>1</v>
      </c>
      <c r="G75" s="125"/>
      <c r="H75" s="126"/>
      <c r="I75" s="123">
        <f t="shared" si="14"/>
        <v>9.7560975609756101E-2</v>
      </c>
      <c r="J75" s="164" t="e">
        <f t="shared" ref="J75" si="16">F75*$G$66*$H$67*I75</f>
        <v>#N/A</v>
      </c>
      <c r="L75" s="222"/>
    </row>
    <row r="76" spans="1:23" ht="15.75" customHeight="1">
      <c r="B76" s="207" t="str">
        <f>'Indicators,16-12-21'!B15</f>
        <v>D10</v>
      </c>
      <c r="C76" s="119" t="str">
        <f t="shared" si="12"/>
        <v xml:space="preserve">Daylighting
</v>
      </c>
      <c r="D76" s="124"/>
      <c r="E76" s="124"/>
      <c r="F76" s="120">
        <f t="shared" si="13"/>
        <v>1</v>
      </c>
      <c r="G76" s="125"/>
      <c r="H76" s="126"/>
      <c r="I76" s="123">
        <f t="shared" si="14"/>
        <v>9.7560975609756101E-2</v>
      </c>
      <c r="J76" s="164" t="e">
        <f t="shared" si="15"/>
        <v>#N/A</v>
      </c>
      <c r="L76" s="222"/>
    </row>
    <row r="77" spans="1:23" ht="15.75" customHeight="1">
      <c r="B77" s="207" t="str">
        <f>'Indicators,16-12-21'!B17</f>
        <v>D12</v>
      </c>
      <c r="C77" s="119" t="str">
        <f t="shared" si="12"/>
        <v xml:space="preserve">Multifunctional use of building or home/unit over time
</v>
      </c>
      <c r="D77" s="124"/>
      <c r="E77" s="124"/>
      <c r="F77" s="120">
        <f t="shared" si="13"/>
        <v>1</v>
      </c>
      <c r="G77" s="125"/>
      <c r="H77" s="126"/>
      <c r="I77" s="123">
        <f t="shared" si="14"/>
        <v>9.7560975609756101E-2</v>
      </c>
      <c r="J77" s="164" t="e">
        <f t="shared" si="15"/>
        <v>#N/A</v>
      </c>
      <c r="L77" s="222"/>
    </row>
    <row r="78" spans="1:23" ht="15.75" customHeight="1" collapsed="1">
      <c r="B78" s="207" t="str">
        <f>'Indicators,16-12-21'!B18</f>
        <v>D13</v>
      </c>
      <c r="C78" s="119" t="str">
        <f t="shared" si="12"/>
        <v>Load-bearing floors</v>
      </c>
      <c r="D78" s="124"/>
      <c r="E78" s="124"/>
      <c r="F78" s="120">
        <f t="shared" si="13"/>
        <v>1</v>
      </c>
      <c r="G78" s="125"/>
      <c r="H78" s="126"/>
      <c r="I78" s="123">
        <f t="shared" si="14"/>
        <v>9.7560975609756101E-2</v>
      </c>
      <c r="J78" s="164" t="e">
        <f t="shared" si="15"/>
        <v>#N/A</v>
      </c>
      <c r="L78" s="222"/>
    </row>
    <row r="79" spans="1:23" s="7" customFormat="1" ht="15.75" customHeight="1">
      <c r="B79" s="207" t="str">
        <f>'Indicators,16-12-21'!B21</f>
        <v>A02</v>
      </c>
      <c r="C79" s="133" t="str">
        <f>VLOOKUP(B79,$B$29:$C$36,2,FALSE)</f>
        <v>Utility function: possibility of dividing the area into units of the size indicated.</v>
      </c>
      <c r="D79" s="138"/>
      <c r="E79" s="124"/>
      <c r="F79" s="129">
        <f>VLOOKUP(B79,$B$29:$J$36,9)</f>
        <v>1</v>
      </c>
      <c r="G79" s="134"/>
      <c r="H79" s="135"/>
      <c r="I79" s="132">
        <f>IF($O$20=1,0.25/(10*1+1*0.25),0)</f>
        <v>2.4390243902439025E-2</v>
      </c>
      <c r="J79" s="165" t="e">
        <f t="shared" si="15"/>
        <v>#N/A</v>
      </c>
      <c r="K79" s="223"/>
      <c r="L79" s="222"/>
      <c r="M79" s="152"/>
      <c r="N79" s="212"/>
      <c r="O79" s="212"/>
      <c r="P79" s="213"/>
      <c r="Q79" s="213"/>
      <c r="R79" s="180"/>
      <c r="S79" s="180"/>
      <c r="T79" s="180"/>
      <c r="U79" s="180"/>
      <c r="V79" s="180"/>
      <c r="W79" s="180"/>
    </row>
    <row r="80" spans="1:23" ht="15.75" customHeight="1">
      <c r="B80" s="209"/>
      <c r="C80" s="139" t="s">
        <v>65</v>
      </c>
      <c r="D80" s="139"/>
      <c r="E80" s="139"/>
      <c r="F80" s="140"/>
      <c r="G80" s="117"/>
      <c r="H80" s="38" t="e">
        <f>'Weighting factors,14-06-21'!AD11</f>
        <v>#N/A</v>
      </c>
      <c r="I80" s="118"/>
      <c r="J80" s="162" t="e">
        <f>IF($F$28="x",0,SUM(J81:J89))</f>
        <v>#N/A</v>
      </c>
      <c r="L80" s="222">
        <f>SUM(I81:I89)</f>
        <v>1</v>
      </c>
    </row>
    <row r="81" spans="1:23" ht="15.75" customHeight="1">
      <c r="A81" s="141"/>
      <c r="B81" s="206" t="str">
        <f>'Indicators,16-12-21'!B4</f>
        <v>D01a</v>
      </c>
      <c r="C81" s="119" t="str">
        <f t="shared" ref="C81:C87" si="17">VLOOKUP(B81,$B$11:$C$26,2,FALSE)</f>
        <v>Distinction between load-bearing structure and systems (use dynamics)</v>
      </c>
      <c r="D81" s="119"/>
      <c r="E81" s="119"/>
      <c r="F81" s="120">
        <f t="shared" ref="F81:F87" si="18">VLOOKUP(B81,$B$11:$J$26,9)</f>
        <v>1</v>
      </c>
      <c r="G81" s="121"/>
      <c r="H81" s="122"/>
      <c r="I81" s="123">
        <f>IF($O$20=1,1/(6*1+2*0.25),1/(6*1+0*0.25))</f>
        <v>0.15384615384615385</v>
      </c>
      <c r="J81" s="163" t="e">
        <f t="shared" ref="J81:J89" si="19">F81*$G$66*$H$80*I81</f>
        <v>#N/A</v>
      </c>
      <c r="L81" s="222"/>
    </row>
    <row r="82" spans="1:23" ht="15.75" customHeight="1">
      <c r="B82" s="207" t="str">
        <f>'Indicators,16-12-21'!B6</f>
        <v>D02a</v>
      </c>
      <c r="C82" s="119" t="str">
        <f t="shared" si="17"/>
        <v>Excess building area</v>
      </c>
      <c r="D82" s="124"/>
      <c r="E82" s="124"/>
      <c r="F82" s="120">
        <f t="shared" si="18"/>
        <v>1</v>
      </c>
      <c r="G82" s="125"/>
      <c r="H82" s="126"/>
      <c r="I82" s="127">
        <f>IF($O$20=1,1/2/(6*1+2*0.25),1/2/(6*1+0*0.25))</f>
        <v>7.6923076923076927E-2</v>
      </c>
      <c r="J82" s="164" t="e">
        <f t="shared" ref="J82" si="20">F82*$G$66*$H$80*I82</f>
        <v>#N/A</v>
      </c>
      <c r="L82" s="222"/>
      <c r="M82" s="153"/>
    </row>
    <row r="83" spans="1:23" ht="15.75" customHeight="1">
      <c r="B83" s="207" t="str">
        <f>'Indicators,16-12-21'!B7</f>
        <v>D02b</v>
      </c>
      <c r="C83" s="119" t="str">
        <f t="shared" si="17"/>
        <v>Oversized home</v>
      </c>
      <c r="D83" s="124"/>
      <c r="E83" s="124"/>
      <c r="F83" s="120">
        <f t="shared" si="18"/>
        <v>1</v>
      </c>
      <c r="G83" s="125"/>
      <c r="H83" s="126"/>
      <c r="I83" s="127">
        <f>IF($O$20=1,1/2/(6*1+2*0.25),1/2/(6*1+0*0.25))</f>
        <v>7.6923076923076927E-2</v>
      </c>
      <c r="J83" s="164" t="e">
        <f>F83*$G$66*$H$80*I83</f>
        <v>#N/A</v>
      </c>
      <c r="L83" s="222"/>
      <c r="M83" s="153"/>
    </row>
    <row r="84" spans="1:23" ht="15.75" customHeight="1">
      <c r="B84" s="207" t="str">
        <f>'Indicators,16-12-21'!B8</f>
        <v>D03</v>
      </c>
      <c r="C84" s="119" t="str">
        <f t="shared" si="17"/>
        <v>Free floor height</v>
      </c>
      <c r="D84" s="124"/>
      <c r="E84" s="124"/>
      <c r="F84" s="120">
        <f t="shared" si="18"/>
        <v>1</v>
      </c>
      <c r="G84" s="125"/>
      <c r="H84" s="126"/>
      <c r="I84" s="123">
        <f t="shared" ref="I84:I87" si="21">IF($O$20=1,1/(6*1+2*0.25),1/(6*1+0*0.25))</f>
        <v>0.15384615384615385</v>
      </c>
      <c r="J84" s="164" t="e">
        <f>F84*$G$66*$H$80*I84</f>
        <v>#N/A</v>
      </c>
      <c r="L84" s="222"/>
      <c r="M84" s="153"/>
    </row>
    <row r="85" spans="1:23" ht="15.75" customHeight="1">
      <c r="B85" s="207" t="str">
        <f>'Indicators,16-12-21'!B11</f>
        <v>D06</v>
      </c>
      <c r="C85" s="119" t="str">
        <f t="shared" si="17"/>
        <v xml:space="preserve">Adjustability of systems
</v>
      </c>
      <c r="D85" s="124"/>
      <c r="E85" s="124"/>
      <c r="F85" s="120">
        <f t="shared" si="18"/>
        <v>1</v>
      </c>
      <c r="G85" s="125"/>
      <c r="H85" s="126"/>
      <c r="I85" s="123">
        <f t="shared" si="21"/>
        <v>0.15384615384615385</v>
      </c>
      <c r="J85" s="164" t="e">
        <f t="shared" si="19"/>
        <v>#N/A</v>
      </c>
      <c r="L85" s="222"/>
      <c r="M85" s="153"/>
    </row>
    <row r="86" spans="1:23" ht="15.75" customHeight="1">
      <c r="B86" s="207" t="str">
        <f>'Indicators,16-12-21'!B12</f>
        <v>D07</v>
      </c>
      <c r="C86" s="119" t="str">
        <f t="shared" si="17"/>
        <v xml:space="preserve">Relocatable interior walls
</v>
      </c>
      <c r="D86" s="124"/>
      <c r="E86" s="124"/>
      <c r="F86" s="120">
        <f t="shared" si="18"/>
        <v>1</v>
      </c>
      <c r="G86" s="125"/>
      <c r="H86" s="126"/>
      <c r="I86" s="123">
        <f t="shared" si="21"/>
        <v>0.15384615384615385</v>
      </c>
      <c r="J86" s="164" t="e">
        <f t="shared" si="19"/>
        <v>#N/A</v>
      </c>
      <c r="L86" s="222"/>
      <c r="M86" s="153"/>
    </row>
    <row r="87" spans="1:23" ht="15.75" customHeight="1">
      <c r="B87" s="207" t="str">
        <f>'Indicators,16-12-21'!B13</f>
        <v>D08</v>
      </c>
      <c r="C87" s="119" t="str">
        <f t="shared" si="17"/>
        <v xml:space="preserve">Disconnectability and accessibility of system components
</v>
      </c>
      <c r="D87" s="124"/>
      <c r="E87" s="124"/>
      <c r="F87" s="120">
        <f t="shared" si="18"/>
        <v>1</v>
      </c>
      <c r="G87" s="125"/>
      <c r="H87" s="126"/>
      <c r="I87" s="123">
        <f t="shared" si="21"/>
        <v>0.15384615384615385</v>
      </c>
      <c r="J87" s="164" t="e">
        <f>F87*$G$66*$H$80*I87</f>
        <v>#N/A</v>
      </c>
      <c r="L87" s="222"/>
      <c r="M87" s="153"/>
    </row>
    <row r="88" spans="1:23" ht="15.75" customHeight="1" collapsed="1">
      <c r="B88" s="207" t="str">
        <f>'Indicators,16-12-21'!B21</f>
        <v>A02</v>
      </c>
      <c r="C88" s="133" t="str">
        <f t="shared" ref="C88:C89" si="22">VLOOKUP(B88,$B$29:$C$36,2,FALSE)</f>
        <v>Utility function: possibility of dividing the area into units of the size indicated.</v>
      </c>
      <c r="D88" s="124"/>
      <c r="E88" s="124"/>
      <c r="F88" s="129">
        <f t="shared" ref="F88:F89" si="23">VLOOKUP(B88,$B$29:$J$36,9)</f>
        <v>1</v>
      </c>
      <c r="G88" s="125"/>
      <c r="H88" s="126"/>
      <c r="I88" s="127">
        <f>IF($O$20=1,0.25/(6*1+2*0.25),0)</f>
        <v>3.8461538461538464E-2</v>
      </c>
      <c r="J88" s="164" t="e">
        <f t="shared" si="19"/>
        <v>#N/A</v>
      </c>
      <c r="L88" s="222"/>
      <c r="M88" s="153"/>
    </row>
    <row r="89" spans="1:23" ht="15.75" customHeight="1">
      <c r="B89" s="208" t="str">
        <f>'Indicators,16-12-21'!B22</f>
        <v>A03</v>
      </c>
      <c r="C89" s="133" t="str">
        <f t="shared" si="22"/>
        <v>Utility function: user unit self-reliance provisions.</v>
      </c>
      <c r="D89" s="133"/>
      <c r="E89" s="128"/>
      <c r="F89" s="129">
        <f t="shared" si="23"/>
        <v>1</v>
      </c>
      <c r="G89" s="134"/>
      <c r="H89" s="135"/>
      <c r="I89" s="127">
        <f>IF($O$20=1,0.25/(6*1+2*0.25),0)</f>
        <v>3.8461538461538464E-2</v>
      </c>
      <c r="J89" s="165" t="e">
        <f t="shared" si="19"/>
        <v>#N/A</v>
      </c>
      <c r="L89" s="222"/>
      <c r="M89" s="159"/>
    </row>
    <row r="90" spans="1:23" s="7" customFormat="1" ht="15.75" customHeight="1">
      <c r="B90" s="204"/>
      <c r="C90" s="110" t="s">
        <v>66</v>
      </c>
      <c r="D90" s="111"/>
      <c r="E90" s="111"/>
      <c r="F90" s="112"/>
      <c r="G90" s="113" t="e">
        <f>'Weighting factors,14-06-21'!AD12</f>
        <v>#N/A</v>
      </c>
      <c r="H90" s="36"/>
      <c r="I90" s="114"/>
      <c r="J90" s="161" t="e">
        <f>J101+J91</f>
        <v>#N/A</v>
      </c>
      <c r="K90" s="213"/>
      <c r="L90" s="222"/>
      <c r="M90" s="152"/>
      <c r="N90" s="212"/>
      <c r="O90" s="212"/>
      <c r="P90" s="213"/>
      <c r="Q90" s="213"/>
      <c r="R90" s="180"/>
      <c r="S90" s="180"/>
      <c r="T90" s="180"/>
      <c r="U90" s="180"/>
      <c r="V90" s="180"/>
      <c r="W90" s="180"/>
    </row>
    <row r="91" spans="1:23" ht="15.75" customHeight="1">
      <c r="B91" s="205"/>
      <c r="C91" s="115" t="s">
        <v>67</v>
      </c>
      <c r="D91" s="115"/>
      <c r="E91" s="115"/>
      <c r="F91" s="116"/>
      <c r="G91" s="117"/>
      <c r="H91" s="38" t="e">
        <f>'Weighting factors,14-06-21'!AD13</f>
        <v>#N/A</v>
      </c>
      <c r="I91" s="118"/>
      <c r="J91" s="162" t="e">
        <f>SUM(J92:J100)</f>
        <v>#N/A</v>
      </c>
      <c r="L91" s="222">
        <f>SUM(I92:I100)</f>
        <v>1.0000000000000002</v>
      </c>
      <c r="M91" s="153"/>
    </row>
    <row r="92" spans="1:23" ht="15.75" customHeight="1">
      <c r="B92" s="206" t="str">
        <f>'Indicators,16-12-21'!B4</f>
        <v>D01a</v>
      </c>
      <c r="C92" s="119" t="str">
        <f t="shared" ref="C92:C99" si="24">VLOOKUP(B92,$B$11:$C$26,2,FALSE)</f>
        <v>Distinction between load-bearing structure and systems (use dynamics)</v>
      </c>
      <c r="D92" s="119"/>
      <c r="E92" s="119"/>
      <c r="F92" s="120">
        <f t="shared" ref="F92:F99" si="25">VLOOKUP(B92,$B$11:$J$26,9)</f>
        <v>1</v>
      </c>
      <c r="G92" s="121"/>
      <c r="H92" s="122"/>
      <c r="I92" s="123">
        <f>IF($O$20=1,1/(7*1+1*0.25),1/(7*1+0*0.25))</f>
        <v>0.13793103448275862</v>
      </c>
      <c r="J92" s="163" t="e">
        <f>F92*$G$90*$H$91*I92</f>
        <v>#N/A</v>
      </c>
      <c r="L92" s="222"/>
      <c r="M92" s="153"/>
      <c r="N92" s="213"/>
      <c r="O92" s="213"/>
    </row>
    <row r="93" spans="1:23" ht="15.75" customHeight="1">
      <c r="B93" s="207" t="str">
        <f>'Indicators,16-12-21'!B6</f>
        <v>D02a</v>
      </c>
      <c r="C93" s="119" t="str">
        <f t="shared" si="24"/>
        <v>Excess building area</v>
      </c>
      <c r="D93" s="124"/>
      <c r="E93" s="124"/>
      <c r="F93" s="120">
        <f t="shared" si="25"/>
        <v>1</v>
      </c>
      <c r="G93" s="125"/>
      <c r="H93" s="126"/>
      <c r="I93" s="123">
        <f>IF($O$20=1,1/2/(7*1+1*0.25),1/2/(7*1+0*0.25))</f>
        <v>6.8965517241379309E-2</v>
      </c>
      <c r="J93" s="163" t="e">
        <f t="shared" ref="J93" si="26">F93*$G$90*$H$91*I93</f>
        <v>#N/A</v>
      </c>
      <c r="L93" s="222"/>
      <c r="M93" s="153"/>
    </row>
    <row r="94" spans="1:23" ht="15.75" customHeight="1">
      <c r="B94" s="207" t="str">
        <f>'Indicators,16-12-21'!B7</f>
        <v>D02b</v>
      </c>
      <c r="C94" s="119" t="str">
        <f t="shared" si="24"/>
        <v>Oversized home</v>
      </c>
      <c r="D94" s="124"/>
      <c r="E94" s="124"/>
      <c r="F94" s="120">
        <f t="shared" si="25"/>
        <v>1</v>
      </c>
      <c r="G94" s="125"/>
      <c r="H94" s="126"/>
      <c r="I94" s="123">
        <f>IF($O$20=1,1/2/(7*1+1*0.25),1/2/(7*1+0*0.25))</f>
        <v>6.8965517241379309E-2</v>
      </c>
      <c r="J94" s="163" t="e">
        <f>F94*$G$90*$H$91*I94</f>
        <v>#N/A</v>
      </c>
      <c r="L94" s="222"/>
      <c r="M94" s="153"/>
    </row>
    <row r="95" spans="1:23" ht="15.75" customHeight="1">
      <c r="B95" s="207" t="str">
        <f>'Indicators,16-12-21'!B8</f>
        <v>D03</v>
      </c>
      <c r="C95" s="119" t="str">
        <f t="shared" si="24"/>
        <v>Free floor height</v>
      </c>
      <c r="D95" s="124"/>
      <c r="E95" s="124"/>
      <c r="F95" s="120">
        <f t="shared" si="25"/>
        <v>1</v>
      </c>
      <c r="G95" s="125"/>
      <c r="H95" s="126"/>
      <c r="I95" s="123">
        <f t="shared" ref="I95:I99" si="27">IF($O$20=1,1/(7*1+1*0.25),1/(7*1+0*0.25))</f>
        <v>0.13793103448275862</v>
      </c>
      <c r="J95" s="163" t="e">
        <f>F95*$G$90*$H$91*I95</f>
        <v>#N/A</v>
      </c>
      <c r="L95" s="222"/>
      <c r="N95" s="213"/>
      <c r="O95" s="213"/>
    </row>
    <row r="96" spans="1:23" ht="15.75" customHeight="1">
      <c r="B96" s="207" t="str">
        <f>'Indicators,16-12-21'!B11</f>
        <v>D06</v>
      </c>
      <c r="C96" s="119" t="str">
        <f t="shared" si="24"/>
        <v xml:space="preserve">Adjustability of systems
</v>
      </c>
      <c r="D96" s="124"/>
      <c r="E96" s="124"/>
      <c r="F96" s="120">
        <f t="shared" si="25"/>
        <v>1</v>
      </c>
      <c r="G96" s="125"/>
      <c r="H96" s="126"/>
      <c r="I96" s="123">
        <f t="shared" si="27"/>
        <v>0.13793103448275862</v>
      </c>
      <c r="J96" s="163" t="e">
        <f t="shared" ref="J96:J100" si="28">F96*$G$90*$H$91*I96</f>
        <v>#N/A</v>
      </c>
      <c r="L96" s="222"/>
      <c r="M96" s="153"/>
      <c r="N96" s="213"/>
      <c r="O96" s="213"/>
    </row>
    <row r="97" spans="2:23" ht="15.75" customHeight="1">
      <c r="B97" s="207" t="str">
        <f>'Indicators,16-12-21'!B13</f>
        <v>D08</v>
      </c>
      <c r="C97" s="119" t="str">
        <f t="shared" si="24"/>
        <v xml:space="preserve">Disconnectability and accessibility of system components
</v>
      </c>
      <c r="D97" s="124"/>
      <c r="E97" s="124"/>
      <c r="F97" s="120">
        <f t="shared" si="25"/>
        <v>1</v>
      </c>
      <c r="G97" s="125"/>
      <c r="H97" s="126"/>
      <c r="I97" s="123">
        <f t="shared" si="27"/>
        <v>0.13793103448275862</v>
      </c>
      <c r="J97" s="163" t="e">
        <f>F97*$G$90*$H$91*I97</f>
        <v>#N/A</v>
      </c>
      <c r="L97" s="222"/>
      <c r="M97" s="153"/>
      <c r="N97" s="213"/>
      <c r="O97" s="213"/>
    </row>
    <row r="98" spans="2:23" ht="15.75" customHeight="1">
      <c r="B98" s="207" t="str">
        <f>'Indicators,16-12-21'!B17</f>
        <v>D12</v>
      </c>
      <c r="C98" s="119" t="str">
        <f t="shared" si="24"/>
        <v xml:space="preserve">Multifunctional use of building or home/unit over time
</v>
      </c>
      <c r="D98" s="124"/>
      <c r="E98" s="124"/>
      <c r="F98" s="120">
        <f t="shared" si="25"/>
        <v>1</v>
      </c>
      <c r="G98" s="125"/>
      <c r="H98" s="126"/>
      <c r="I98" s="123">
        <f t="shared" si="27"/>
        <v>0.13793103448275862</v>
      </c>
      <c r="J98" s="163" t="e">
        <f t="shared" si="28"/>
        <v>#N/A</v>
      </c>
      <c r="L98" s="222"/>
      <c r="M98" s="153"/>
      <c r="N98" s="213"/>
      <c r="O98" s="213"/>
    </row>
    <row r="99" spans="2:23" ht="15.75" customHeight="1" collapsed="1">
      <c r="B99" s="207" t="str">
        <f>'Indicators,16-12-21'!B18</f>
        <v>D13</v>
      </c>
      <c r="C99" s="119" t="str">
        <f t="shared" si="24"/>
        <v>Load-bearing floors</v>
      </c>
      <c r="D99" s="138"/>
      <c r="E99" s="124"/>
      <c r="F99" s="120">
        <f t="shared" si="25"/>
        <v>1</v>
      </c>
      <c r="G99" s="142"/>
      <c r="H99" s="143"/>
      <c r="I99" s="123">
        <f t="shared" si="27"/>
        <v>0.13793103448275862</v>
      </c>
      <c r="J99" s="163" t="e">
        <f t="shared" si="28"/>
        <v>#N/A</v>
      </c>
      <c r="L99" s="222"/>
      <c r="M99" s="153"/>
    </row>
    <row r="100" spans="2:23" s="7" customFormat="1" ht="15.75" customHeight="1">
      <c r="B100" s="208" t="str">
        <f>'Indicators,16-12-21'!B22</f>
        <v>A03</v>
      </c>
      <c r="C100" s="138" t="str">
        <f t="shared" ref="C100" si="29">VLOOKUP(B100,$B$29:$C$36,2,FALSE)</f>
        <v>Utility function: user unit self-reliance provisions.</v>
      </c>
      <c r="D100" s="133"/>
      <c r="E100" s="128"/>
      <c r="F100" s="129">
        <f>VLOOKUP(B100,$B$29:$J$36,9)</f>
        <v>1</v>
      </c>
      <c r="G100" s="134"/>
      <c r="H100" s="135"/>
      <c r="I100" s="132">
        <f>IF($O$20=1,0.25/(7*1+1*0.25),0)</f>
        <v>3.4482758620689655E-2</v>
      </c>
      <c r="J100" s="163" t="e">
        <f t="shared" si="28"/>
        <v>#N/A</v>
      </c>
      <c r="K100" s="213"/>
      <c r="L100" s="222"/>
      <c r="M100" s="152"/>
      <c r="N100" s="212"/>
      <c r="O100" s="212"/>
      <c r="P100" s="213"/>
      <c r="Q100" s="213"/>
      <c r="R100" s="180"/>
      <c r="S100" s="180"/>
      <c r="T100" s="180"/>
      <c r="U100" s="180"/>
      <c r="V100" s="180"/>
      <c r="W100" s="180"/>
    </row>
    <row r="101" spans="2:23" ht="15.75" customHeight="1">
      <c r="B101" s="205"/>
      <c r="C101" s="115" t="s">
        <v>68</v>
      </c>
      <c r="D101" s="115"/>
      <c r="E101" s="115"/>
      <c r="F101" s="116"/>
      <c r="G101" s="117"/>
      <c r="H101" s="38" t="e">
        <f>'Weighting factors,14-06-21'!AD14</f>
        <v>#N/A</v>
      </c>
      <c r="I101" s="118"/>
      <c r="J101" s="162" t="e">
        <f>SUM(J102:J111)</f>
        <v>#N/A</v>
      </c>
      <c r="L101" s="222"/>
      <c r="M101" s="153"/>
    </row>
    <row r="102" spans="2:23" ht="15.75" customHeight="1">
      <c r="B102" s="206" t="str">
        <f>'Indicators,16-12-21'!B4</f>
        <v>D01a</v>
      </c>
      <c r="C102" s="119" t="str">
        <f t="shared" ref="C102:C108" si="30">VLOOKUP(B102,$B$11:$C$26,2,FALSE)</f>
        <v>Distinction between load-bearing structure and systems (use dynamics)</v>
      </c>
      <c r="D102" s="119"/>
      <c r="E102" s="119"/>
      <c r="F102" s="120">
        <f t="shared" ref="F102:F108" si="31">VLOOKUP(B102,$B$11:$J$26,9)</f>
        <v>1</v>
      </c>
      <c r="G102" s="121"/>
      <c r="H102" s="122"/>
      <c r="I102" s="123">
        <f>IF($O$20=1,1/(6*1+3*0.25),1/(6*1+0*0.25))</f>
        <v>0.14814814814814814</v>
      </c>
      <c r="J102" s="163" t="e">
        <f>F102*$G$90*$H$101*I102</f>
        <v>#N/A</v>
      </c>
      <c r="L102" s="222">
        <f>SUM(I102:I111)</f>
        <v>0.99999999999999978</v>
      </c>
      <c r="M102" s="153"/>
    </row>
    <row r="103" spans="2:23" ht="15.75" customHeight="1">
      <c r="B103" s="207" t="str">
        <f>'Indicators,16-12-21'!B6</f>
        <v>D02a</v>
      </c>
      <c r="C103" s="119" t="str">
        <f t="shared" si="30"/>
        <v>Excess building area</v>
      </c>
      <c r="D103" s="124"/>
      <c r="E103" s="124"/>
      <c r="F103" s="120">
        <f t="shared" si="31"/>
        <v>1</v>
      </c>
      <c r="G103" s="125"/>
      <c r="H103" s="126"/>
      <c r="I103" s="123">
        <f>IF($O$20=1,1/2/(6*1+3*0.25),1/2/(6*1+0*0.25))</f>
        <v>7.407407407407407E-2</v>
      </c>
      <c r="J103" s="163" t="e">
        <f t="shared" ref="J103" si="32">F103*$G$90*$H$101*I103</f>
        <v>#N/A</v>
      </c>
      <c r="L103" s="222"/>
    </row>
    <row r="104" spans="2:23" ht="15.75" customHeight="1">
      <c r="B104" s="207" t="str">
        <f>'Indicators,16-12-21'!B7</f>
        <v>D02b</v>
      </c>
      <c r="C104" s="119" t="str">
        <f t="shared" si="30"/>
        <v>Oversized home</v>
      </c>
      <c r="D104" s="124"/>
      <c r="E104" s="124"/>
      <c r="F104" s="120">
        <f t="shared" si="31"/>
        <v>1</v>
      </c>
      <c r="G104" s="125"/>
      <c r="H104" s="126"/>
      <c r="I104" s="123">
        <f>IF($O$20=1,1/2/(6*1+3*0.25),1/2/(6*1+0*0.25))</f>
        <v>7.407407407407407E-2</v>
      </c>
      <c r="J104" s="163" t="e">
        <f>F104*$G$90*$H$101*I104</f>
        <v>#N/A</v>
      </c>
      <c r="L104" s="222"/>
    </row>
    <row r="105" spans="2:23" ht="15.75" customHeight="1">
      <c r="B105" s="207" t="str">
        <f>'Indicators,16-12-21'!B8</f>
        <v>D03</v>
      </c>
      <c r="C105" s="119" t="str">
        <f t="shared" si="30"/>
        <v>Free floor height</v>
      </c>
      <c r="D105" s="124"/>
      <c r="E105" s="124"/>
      <c r="F105" s="120">
        <f t="shared" si="31"/>
        <v>1</v>
      </c>
      <c r="G105" s="125"/>
      <c r="H105" s="126"/>
      <c r="I105" s="123">
        <f t="shared" ref="I105:I108" si="33">IF($O$20=1,1/(6*1+3*0.25),1/(6*1+0*0.25))</f>
        <v>0.14814814814814814</v>
      </c>
      <c r="J105" s="163" t="e">
        <f t="shared" ref="J105:J111" si="34">F105*$G$90*$H$101*I105</f>
        <v>#N/A</v>
      </c>
      <c r="L105" s="222"/>
    </row>
    <row r="106" spans="2:23" ht="15.75" customHeight="1">
      <c r="B106" s="207" t="str">
        <f>'Indicators,16-12-21'!B12</f>
        <v>D07</v>
      </c>
      <c r="C106" s="119" t="str">
        <f t="shared" si="30"/>
        <v xml:space="preserve">Relocatable interior walls
</v>
      </c>
      <c r="D106" s="124"/>
      <c r="E106" s="124"/>
      <c r="F106" s="120">
        <f t="shared" si="31"/>
        <v>1</v>
      </c>
      <c r="G106" s="125"/>
      <c r="H106" s="126"/>
      <c r="I106" s="123">
        <f t="shared" si="33"/>
        <v>0.14814814814814814</v>
      </c>
      <c r="J106" s="163" t="e">
        <f t="shared" si="34"/>
        <v>#N/A</v>
      </c>
      <c r="L106" s="222"/>
    </row>
    <row r="107" spans="2:23" ht="15.75" customHeight="1">
      <c r="B107" s="207" t="str">
        <f>'Indicators,16-12-21'!B15</f>
        <v>D10</v>
      </c>
      <c r="C107" s="119" t="str">
        <f t="shared" si="30"/>
        <v xml:space="preserve">Daylighting
</v>
      </c>
      <c r="D107" s="124"/>
      <c r="E107" s="124"/>
      <c r="F107" s="120">
        <f t="shared" si="31"/>
        <v>1</v>
      </c>
      <c r="G107" s="125"/>
      <c r="H107" s="126"/>
      <c r="I107" s="123">
        <f t="shared" si="33"/>
        <v>0.14814814814814814</v>
      </c>
      <c r="J107" s="163" t="e">
        <f>F107*$G$90*$H$101*I107</f>
        <v>#N/A</v>
      </c>
      <c r="L107" s="222"/>
    </row>
    <row r="108" spans="2:23" ht="15.75" customHeight="1">
      <c r="B108" s="207" t="str">
        <f>'Indicators,16-12-21'!B18</f>
        <v>D13</v>
      </c>
      <c r="C108" s="119" t="str">
        <f t="shared" si="30"/>
        <v>Load-bearing floors</v>
      </c>
      <c r="D108" s="124"/>
      <c r="E108" s="124"/>
      <c r="F108" s="120">
        <f t="shared" si="31"/>
        <v>1</v>
      </c>
      <c r="G108" s="125"/>
      <c r="H108" s="126"/>
      <c r="I108" s="123">
        <f t="shared" si="33"/>
        <v>0.14814814814814814</v>
      </c>
      <c r="J108" s="163" t="e">
        <f t="shared" si="34"/>
        <v>#N/A</v>
      </c>
      <c r="L108" s="222"/>
      <c r="M108" s="153"/>
    </row>
    <row r="109" spans="2:23" ht="15.75" customHeight="1">
      <c r="B109" s="207" t="str">
        <f>'Indicators,16-12-21'!B21</f>
        <v>A02</v>
      </c>
      <c r="C109" s="138" t="str">
        <f t="shared" ref="C109:C111" si="35">VLOOKUP(B109,$B$29:$C$36,2,FALSE)</f>
        <v>Utility function: possibility of dividing the area into units of the size indicated.</v>
      </c>
      <c r="D109" s="124"/>
      <c r="E109" s="124"/>
      <c r="F109" s="129">
        <f t="shared" ref="F109:F111" si="36">VLOOKUP(B109,$B$29:$J$36,9)</f>
        <v>1</v>
      </c>
      <c r="G109" s="125"/>
      <c r="H109" s="126"/>
      <c r="I109" s="123">
        <f>IF($O$20=1,0.25/(6*1+3*0.25),0)</f>
        <v>3.7037037037037035E-2</v>
      </c>
      <c r="J109" s="163" t="e">
        <f t="shared" si="34"/>
        <v>#N/A</v>
      </c>
      <c r="L109" s="222"/>
      <c r="M109" s="153"/>
    </row>
    <row r="110" spans="2:23" ht="15.75" customHeight="1" collapsed="1">
      <c r="B110" s="207" t="str">
        <f>'Indicators,16-12-21'!B22</f>
        <v>A03</v>
      </c>
      <c r="C110" s="138" t="str">
        <f t="shared" si="35"/>
        <v>Utility function: user unit self-reliance provisions.</v>
      </c>
      <c r="D110" s="124"/>
      <c r="E110" s="124"/>
      <c r="F110" s="129">
        <f t="shared" si="36"/>
        <v>1</v>
      </c>
      <c r="G110" s="125"/>
      <c r="H110" s="126"/>
      <c r="I110" s="123">
        <f>IF($O$20=1,0.25/(6*1+3*0.25),0)</f>
        <v>3.7037037037037035E-2</v>
      </c>
      <c r="J110" s="163" t="e">
        <f t="shared" si="34"/>
        <v>#N/A</v>
      </c>
      <c r="L110" s="222"/>
      <c r="M110" s="153"/>
      <c r="N110" s="213"/>
      <c r="O110" s="213"/>
    </row>
    <row r="111" spans="2:23" ht="15.75" customHeight="1">
      <c r="B111" s="208" t="str">
        <f>'Indicators,16-12-21'!B23</f>
        <v>A04</v>
      </c>
      <c r="C111" s="133" t="str">
        <f t="shared" si="35"/>
        <v>Utility function: openable windows</v>
      </c>
      <c r="D111" s="133"/>
      <c r="E111" s="128"/>
      <c r="F111" s="129">
        <f t="shared" si="36"/>
        <v>1</v>
      </c>
      <c r="G111" s="134"/>
      <c r="H111" s="135"/>
      <c r="I111" s="144">
        <f>IF($O$20=1,0.25/(6*1+3*0.25),0)</f>
        <v>3.7037037037037035E-2</v>
      </c>
      <c r="J111" s="166" t="e">
        <f t="shared" si="34"/>
        <v>#N/A</v>
      </c>
      <c r="L111" s="222"/>
    </row>
    <row r="112" spans="2:23" ht="15.75" customHeight="1">
      <c r="B112" s="202"/>
      <c r="C112" s="102" t="s">
        <v>54</v>
      </c>
      <c r="D112" s="103"/>
      <c r="E112" s="103"/>
      <c r="F112" s="104"/>
      <c r="G112" s="329" t="s">
        <v>55</v>
      </c>
      <c r="H112" s="330"/>
      <c r="I112" s="330"/>
      <c r="J112" s="105" t="s">
        <v>46</v>
      </c>
      <c r="L112" s="222"/>
    </row>
    <row r="113" spans="2:15" ht="15.75" customHeight="1">
      <c r="B113" s="203"/>
      <c r="C113" s="103"/>
      <c r="D113" s="103"/>
      <c r="E113" s="103"/>
      <c r="F113" s="104" t="s">
        <v>16</v>
      </c>
      <c r="G113" s="106" t="s">
        <v>56</v>
      </c>
      <c r="H113" s="107" t="s">
        <v>57</v>
      </c>
      <c r="I113" s="108" t="s">
        <v>58</v>
      </c>
      <c r="J113" s="109" t="e">
        <f>IF(F27="x",0,J114+J137+J162)</f>
        <v>#N/A</v>
      </c>
      <c r="L113" s="222"/>
      <c r="M113" s="159"/>
    </row>
    <row r="114" spans="2:15" ht="15.75" customHeight="1">
      <c r="B114" s="204"/>
      <c r="C114" s="110" t="s">
        <v>59</v>
      </c>
      <c r="D114" s="111"/>
      <c r="E114" s="111"/>
      <c r="F114" s="112"/>
      <c r="G114" s="113" t="e">
        <f>'Weighting factors,14-06-21'!AD16</f>
        <v>#N/A</v>
      </c>
      <c r="H114" s="36"/>
      <c r="I114" s="114"/>
      <c r="J114" s="161" t="e">
        <f>J115+J123+J132</f>
        <v>#N/A</v>
      </c>
      <c r="L114" s="222"/>
    </row>
    <row r="115" spans="2:15" ht="15.75" customHeight="1">
      <c r="B115" s="205"/>
      <c r="C115" s="115" t="s">
        <v>60</v>
      </c>
      <c r="D115" s="115"/>
      <c r="E115" s="115"/>
      <c r="F115" s="116"/>
      <c r="G115" s="117"/>
      <c r="H115" s="38" t="e">
        <f>'Weighting factors,14-06-21'!AD17</f>
        <v>#N/A</v>
      </c>
      <c r="I115" s="118"/>
      <c r="J115" s="162" t="e">
        <f>SUM(J116:J122)</f>
        <v>#N/A</v>
      </c>
      <c r="L115" s="222">
        <f>SUM(I116:I122)</f>
        <v>1</v>
      </c>
    </row>
    <row r="116" spans="2:15" ht="15.75" customHeight="1">
      <c r="B116" s="206" t="str">
        <f>'Indicators,16-12-21'!B9</f>
        <v>D04</v>
      </c>
      <c r="C116" s="119" t="str">
        <f>VLOOKUP(B116,$B$11:$C$26,2,FALSE)</f>
        <v>Oversizing building space/reservation for electrical &amp; mechanical engineering (E&amp;W) systems and shafts</v>
      </c>
      <c r="D116" s="119"/>
      <c r="E116" s="119"/>
      <c r="F116" s="120">
        <f>VLOOKUP(B116,$B$11:$J$26,9)</f>
        <v>1</v>
      </c>
      <c r="G116" s="121"/>
      <c r="H116" s="122"/>
      <c r="I116" s="123">
        <f>IF($O$20=1,1/(3*1+4*0.25),1/(3*1+0*0.25))</f>
        <v>0.25</v>
      </c>
      <c r="J116" s="163" t="e">
        <f>F116*$G$114*$H$115*I116</f>
        <v>#N/A</v>
      </c>
      <c r="L116" s="222"/>
    </row>
    <row r="117" spans="2:15" ht="15.75" customHeight="1">
      <c r="B117" s="207" t="str">
        <f>'Indicators,16-12-21'!B10</f>
        <v>D05</v>
      </c>
      <c r="C117" s="119" t="str">
        <f>VLOOKUP(B117,$B$11:$C$26,2,FALSE)</f>
        <v xml:space="preserve">Expandable building or dwelling/unit, horizontally and/or vertically
</v>
      </c>
      <c r="D117" s="124"/>
      <c r="E117" s="124"/>
      <c r="F117" s="120">
        <f>VLOOKUP(B117,$B$11:$J$26,9)</f>
        <v>1</v>
      </c>
      <c r="G117" s="125"/>
      <c r="H117" s="126"/>
      <c r="I117" s="123">
        <f t="shared" ref="I117:I118" si="37">IF($O$20=1,1/(3*1+4*0.25),1/(3*1+0*0.25))</f>
        <v>0.25</v>
      </c>
      <c r="J117" s="163" t="e">
        <f t="shared" ref="J117:J121" si="38">F117*$G$114*$H$115*I117</f>
        <v>#N/A</v>
      </c>
      <c r="L117" s="222"/>
    </row>
    <row r="118" spans="2:15" ht="15.75" customHeight="1">
      <c r="B118" s="207" t="str">
        <f>'Indicators,16-12-21'!B11</f>
        <v>D06</v>
      </c>
      <c r="C118" s="119" t="str">
        <f>VLOOKUP(B118,$B$11:$C$26,2,FALSE)</f>
        <v xml:space="preserve">Adjustability of systems
</v>
      </c>
      <c r="D118" s="124"/>
      <c r="E118" s="124"/>
      <c r="F118" s="120">
        <f>VLOOKUP(B118,$B$11:$J$26,9)</f>
        <v>1</v>
      </c>
      <c r="G118" s="125"/>
      <c r="H118" s="126"/>
      <c r="I118" s="123">
        <f t="shared" si="37"/>
        <v>0.25</v>
      </c>
      <c r="J118" s="163" t="e">
        <f>F118*$G$114*$H$115*I118</f>
        <v>#N/A</v>
      </c>
      <c r="L118" s="222"/>
    </row>
    <row r="119" spans="2:15" ht="15.75" customHeight="1">
      <c r="B119" s="207" t="str">
        <f>'Indicators,16-12-21'!B21</f>
        <v>A02</v>
      </c>
      <c r="C119" s="138" t="str">
        <f t="shared" ref="C119:C122" si="39">VLOOKUP(B119,$B$29:$C$36,2,FALSE)</f>
        <v>Utility function: possibility of dividing the area into units of the size indicated.</v>
      </c>
      <c r="D119" s="124"/>
      <c r="E119" s="124"/>
      <c r="F119" s="129">
        <f t="shared" ref="F119:F122" si="40">VLOOKUP(B119,$B$29:$J$36,9)</f>
        <v>1</v>
      </c>
      <c r="G119" s="125"/>
      <c r="H119" s="126"/>
      <c r="I119" s="123">
        <f>IF($O$20=1,0.25/(3*1+4*0.25),0)</f>
        <v>6.25E-2</v>
      </c>
      <c r="J119" s="163" t="e">
        <f t="shared" si="38"/>
        <v>#N/A</v>
      </c>
      <c r="L119" s="222"/>
    </row>
    <row r="120" spans="2:15" ht="15.75" customHeight="1">
      <c r="B120" s="207" t="str">
        <f>'Indicators,16-12-21'!B24</f>
        <v>A05</v>
      </c>
      <c r="C120" s="138" t="str">
        <f t="shared" si="39"/>
        <v>Demountable façade</v>
      </c>
      <c r="D120" s="124"/>
      <c r="E120" s="124"/>
      <c r="F120" s="129">
        <f t="shared" si="40"/>
        <v>1</v>
      </c>
      <c r="G120" s="125"/>
      <c r="H120" s="126"/>
      <c r="I120" s="123">
        <f t="shared" ref="I120:I122" si="41">IF($O$20=1,0.25/(3*1+4*0.25),0)</f>
        <v>6.25E-2</v>
      </c>
      <c r="J120" s="163" t="e">
        <f t="shared" si="38"/>
        <v>#N/A</v>
      </c>
      <c r="L120" s="222"/>
    </row>
    <row r="121" spans="2:15" ht="15.75" customHeight="1" collapsed="1">
      <c r="B121" s="207" t="str">
        <f>'Indicators,16-12-21'!B26</f>
        <v>A07</v>
      </c>
      <c r="C121" s="138" t="str">
        <f t="shared" si="39"/>
        <v>Possibility of balconies on the façade</v>
      </c>
      <c r="D121" s="124"/>
      <c r="E121" s="124"/>
      <c r="F121" s="129">
        <f t="shared" si="40"/>
        <v>1</v>
      </c>
      <c r="G121" s="125"/>
      <c r="H121" s="126"/>
      <c r="I121" s="123">
        <f t="shared" si="41"/>
        <v>6.25E-2</v>
      </c>
      <c r="J121" s="163" t="e">
        <f t="shared" si="38"/>
        <v>#N/A</v>
      </c>
      <c r="L121" s="222"/>
    </row>
    <row r="122" spans="2:15" ht="15.75" customHeight="1">
      <c r="B122" s="208" t="str">
        <f>'Indicators,16-12-21'!B27</f>
        <v>A08</v>
      </c>
      <c r="C122" s="138" t="str">
        <f t="shared" si="39"/>
        <v>Vertical expansion: accessibility</v>
      </c>
      <c r="D122" s="128"/>
      <c r="E122" s="128"/>
      <c r="F122" s="129">
        <f t="shared" si="40"/>
        <v>1</v>
      </c>
      <c r="G122" s="130"/>
      <c r="H122" s="131"/>
      <c r="I122" s="132">
        <f t="shared" si="41"/>
        <v>6.25E-2</v>
      </c>
      <c r="J122" s="163" t="e">
        <f>F122*$G$114*$H$115*I122</f>
        <v>#N/A</v>
      </c>
      <c r="L122" s="222"/>
      <c r="N122" s="213"/>
      <c r="O122" s="213"/>
    </row>
    <row r="123" spans="2:15" ht="15.75" customHeight="1">
      <c r="B123" s="205"/>
      <c r="C123" s="115" t="s">
        <v>61</v>
      </c>
      <c r="D123" s="115"/>
      <c r="E123" s="115"/>
      <c r="F123" s="116"/>
      <c r="G123" s="117"/>
      <c r="H123" s="38" t="e">
        <f>'Weighting factors,14-06-21'!AD18</f>
        <v>#N/A</v>
      </c>
      <c r="I123" s="118"/>
      <c r="J123" s="162" t="e">
        <f>SUM(J124:J131)</f>
        <v>#N/A</v>
      </c>
      <c r="L123" s="222">
        <f>SUM(I124:I131)</f>
        <v>1</v>
      </c>
    </row>
    <row r="124" spans="2:15" ht="15.75" customHeight="1">
      <c r="B124" s="206" t="str">
        <f>'Indicators,16-12-21'!B5</f>
        <v>D01b</v>
      </c>
      <c r="C124" s="119" t="str">
        <f t="shared" ref="C124:C130" si="42">VLOOKUP(B124,$B$11:$C$26,2,FALSE)</f>
        <v>Distinction between load-bearing structure and systems (repurposing dynamics)</v>
      </c>
      <c r="D124" s="119"/>
      <c r="E124" s="119"/>
      <c r="F124" s="120">
        <f t="shared" ref="F124:F130" si="43">VLOOKUP(B124,$B$11:$J$26,9)</f>
        <v>1</v>
      </c>
      <c r="G124" s="121"/>
      <c r="H124" s="122"/>
      <c r="I124" s="123">
        <f>IF($O$20=1,1/(6*1+1*0.25),1/(6*1+0*0.25))</f>
        <v>0.16</v>
      </c>
      <c r="J124" s="163" t="e">
        <f>F124*$G$114*$H$123*I124</f>
        <v>#N/A</v>
      </c>
      <c r="L124" s="222"/>
      <c r="N124" s="213"/>
      <c r="O124" s="213"/>
    </row>
    <row r="125" spans="2:15" ht="15.75" customHeight="1">
      <c r="B125" s="207" t="str">
        <f>'Indicators,16-12-21'!B6</f>
        <v>D02a</v>
      </c>
      <c r="C125" s="119" t="str">
        <f t="shared" si="42"/>
        <v>Excess building area</v>
      </c>
      <c r="D125" s="124"/>
      <c r="E125" s="124"/>
      <c r="F125" s="120">
        <f t="shared" si="43"/>
        <v>1</v>
      </c>
      <c r="G125" s="125"/>
      <c r="H125" s="126"/>
      <c r="I125" s="127">
        <f>IF($O$20=1,1/2/(6*1+1*0.25),1/2/(6*1+0*0.25))</f>
        <v>0.08</v>
      </c>
      <c r="J125" s="163" t="e">
        <f t="shared" ref="J125:J130" si="44">F125*$G$114*$H$123*I125</f>
        <v>#N/A</v>
      </c>
      <c r="L125" s="222"/>
    </row>
    <row r="126" spans="2:15" ht="15.75" customHeight="1">
      <c r="B126" s="207" t="str">
        <f>'Indicators,16-12-21'!B7</f>
        <v>D02b</v>
      </c>
      <c r="C126" s="119" t="str">
        <f t="shared" si="42"/>
        <v>Oversized home</v>
      </c>
      <c r="D126" s="124"/>
      <c r="E126" s="124"/>
      <c r="F126" s="120">
        <f t="shared" si="43"/>
        <v>1</v>
      </c>
      <c r="G126" s="125"/>
      <c r="H126" s="126"/>
      <c r="I126" s="127">
        <f>IF($O$20=1,1/2/(6*1+1*0.25),1/2/(6*1+0*0.25))</f>
        <v>0.08</v>
      </c>
      <c r="J126" s="163" t="e">
        <f>F126*$G$114*$H$123*I126</f>
        <v>#N/A</v>
      </c>
      <c r="L126" s="222"/>
    </row>
    <row r="127" spans="2:15" ht="15.75" customHeight="1">
      <c r="B127" s="207" t="str">
        <f>'Indicators,16-12-21'!B11</f>
        <v>D06</v>
      </c>
      <c r="C127" s="119" t="str">
        <f t="shared" si="42"/>
        <v xml:space="preserve">Adjustability of systems
</v>
      </c>
      <c r="D127" s="124"/>
      <c r="E127" s="124"/>
      <c r="F127" s="120">
        <f t="shared" si="43"/>
        <v>1</v>
      </c>
      <c r="G127" s="125"/>
      <c r="H127" s="126"/>
      <c r="I127" s="123">
        <f t="shared" ref="I127:I130" si="45">IF($O$20=1,1/(6*1+1*0.25),1/(6*1+0*0.25))</f>
        <v>0.16</v>
      </c>
      <c r="J127" s="163" t="e">
        <f t="shared" si="44"/>
        <v>#N/A</v>
      </c>
      <c r="L127" s="222"/>
      <c r="N127" s="213"/>
      <c r="O127" s="213"/>
    </row>
    <row r="128" spans="2:15" ht="15.75" customHeight="1">
      <c r="B128" s="207" t="str">
        <f>'Indicators,16-12-21'!B13</f>
        <v>D08</v>
      </c>
      <c r="C128" s="119" t="str">
        <f t="shared" si="42"/>
        <v xml:space="preserve">Disconnectability and accessibility of system components
</v>
      </c>
      <c r="D128" s="124"/>
      <c r="E128" s="124"/>
      <c r="F128" s="120">
        <f t="shared" si="43"/>
        <v>1</v>
      </c>
      <c r="G128" s="125"/>
      <c r="H128" s="126"/>
      <c r="I128" s="123">
        <f t="shared" si="45"/>
        <v>0.16</v>
      </c>
      <c r="J128" s="163" t="e">
        <f t="shared" si="44"/>
        <v>#N/A</v>
      </c>
      <c r="L128" s="222"/>
    </row>
    <row r="129" spans="1:23" ht="15.75" customHeight="1">
      <c r="B129" s="207" t="str">
        <f>'Indicators,16-12-21'!B16</f>
        <v>D11</v>
      </c>
      <c r="C129" s="119" t="str">
        <f t="shared" si="42"/>
        <v>Presence and position of stairs and/or elevators, or expansion options for stairs/elevators</v>
      </c>
      <c r="D129" s="124"/>
      <c r="E129" s="124"/>
      <c r="F129" s="120">
        <f t="shared" si="43"/>
        <v>1</v>
      </c>
      <c r="G129" s="125"/>
      <c r="H129" s="126"/>
      <c r="I129" s="123">
        <f t="shared" si="45"/>
        <v>0.16</v>
      </c>
      <c r="J129" s="163" t="e">
        <f t="shared" si="44"/>
        <v>#N/A</v>
      </c>
      <c r="L129" s="222"/>
      <c r="N129" s="213"/>
      <c r="O129" s="213"/>
    </row>
    <row r="130" spans="1:23" ht="15.75" customHeight="1" collapsed="1">
      <c r="B130" s="207" t="str">
        <f>'Indicators,16-12-21'!B17</f>
        <v>D12</v>
      </c>
      <c r="C130" s="119" t="str">
        <f t="shared" si="42"/>
        <v xml:space="preserve">Multifunctional use of building or home/unit over time
</v>
      </c>
      <c r="D130" s="124"/>
      <c r="E130" s="124"/>
      <c r="F130" s="120">
        <f t="shared" si="43"/>
        <v>1</v>
      </c>
      <c r="G130" s="125"/>
      <c r="H130" s="126"/>
      <c r="I130" s="123">
        <f t="shared" si="45"/>
        <v>0.16</v>
      </c>
      <c r="J130" s="163" t="e">
        <f t="shared" si="44"/>
        <v>#N/A</v>
      </c>
      <c r="L130" s="222"/>
    </row>
    <row r="131" spans="1:23" ht="15.75" customHeight="1">
      <c r="B131" s="207" t="str">
        <f>'Indicators,16-12-21'!B20</f>
        <v>A01</v>
      </c>
      <c r="C131" s="138" t="str">
        <f t="shared" ref="C131" si="46">VLOOKUP(B131,$B$29:$C$36,2,FALSE)</f>
        <v xml:space="preserve">Utility function: disposable part of the building, horizontally or  vertically, or disposable user unit.
</v>
      </c>
      <c r="D131" s="133"/>
      <c r="E131" s="128"/>
      <c r="F131" s="129">
        <f t="shared" ref="F131" si="47">VLOOKUP(B131,$B$29:$J$36,9)</f>
        <v>1</v>
      </c>
      <c r="G131" s="134"/>
      <c r="H131" s="135"/>
      <c r="I131" s="132">
        <f>IF($O$20=1,0.25/(6*1+1*0.25),0)</f>
        <v>0.04</v>
      </c>
      <c r="J131" s="163" t="e">
        <f>F131*$G$114*$H$123*I131</f>
        <v>#N/A</v>
      </c>
      <c r="L131" s="222"/>
    </row>
    <row r="132" spans="1:23" ht="15.75" customHeight="1">
      <c r="B132" s="205"/>
      <c r="C132" s="115" t="s">
        <v>62</v>
      </c>
      <c r="D132" s="115"/>
      <c r="E132" s="115"/>
      <c r="F132" s="116"/>
      <c r="G132" s="117"/>
      <c r="H132" s="38" t="e">
        <f>'Weighting factors,14-06-21'!AD19</f>
        <v>#N/A</v>
      </c>
      <c r="I132" s="118"/>
      <c r="J132" s="162" t="e">
        <f>SUM(J133:J136)</f>
        <v>#N/A</v>
      </c>
      <c r="L132" s="222">
        <f>SUM(I133:I136)</f>
        <v>1</v>
      </c>
    </row>
    <row r="133" spans="1:23" ht="15.75" customHeight="1">
      <c r="B133" s="206" t="str">
        <f>'Indicators,16-12-21'!B5</f>
        <v>D01b</v>
      </c>
      <c r="C133" s="119" t="str">
        <f>VLOOKUP(B133,$B$11:$C$26,2,FALSE)</f>
        <v>Distinction between load-bearing structure and systems (repurposing dynamics)</v>
      </c>
      <c r="D133" s="119"/>
      <c r="E133" s="119"/>
      <c r="F133" s="120">
        <f>VLOOKUP(B133,$B$11:$J$26,9)</f>
        <v>1</v>
      </c>
      <c r="G133" s="121"/>
      <c r="H133" s="122"/>
      <c r="I133" s="123">
        <f>IF($O$20=1,1/(4*1+0*0.25),1/(4*1+0*0.25))</f>
        <v>0.25</v>
      </c>
      <c r="J133" s="163" t="e">
        <f>F133*$G$114*$H$132*I133</f>
        <v>#N/A</v>
      </c>
      <c r="L133" s="222"/>
    </row>
    <row r="134" spans="1:23" ht="15.75" customHeight="1">
      <c r="B134" s="207" t="str">
        <f>'Indicators,16-12-21'!B12</f>
        <v>D07</v>
      </c>
      <c r="C134" s="119" t="str">
        <f>VLOOKUP(B134,$B$11:$C$26,2,FALSE)</f>
        <v xml:space="preserve">Relocatable interior walls
</v>
      </c>
      <c r="D134" s="124"/>
      <c r="E134" s="124"/>
      <c r="F134" s="120">
        <f>VLOOKUP(B134,$B$11:$J$26,9)</f>
        <v>1</v>
      </c>
      <c r="G134" s="125"/>
      <c r="H134" s="126"/>
      <c r="I134" s="123">
        <f t="shared" ref="I134:I136" si="48">IF($O$20=1,1/(4*1+0*0.25),1/(4*1+0*0.25))</f>
        <v>0.25</v>
      </c>
      <c r="J134" s="163" t="e">
        <f t="shared" ref="J134:J136" si="49">F134*$G$114*$H$132*I134</f>
        <v>#N/A</v>
      </c>
      <c r="L134" s="222"/>
    </row>
    <row r="135" spans="1:23" ht="15.75" customHeight="1" collapsed="1">
      <c r="B135" s="207" t="str">
        <f>'Indicators,16-12-21'!B13</f>
        <v>D08</v>
      </c>
      <c r="C135" s="119" t="str">
        <f>VLOOKUP(B135,$B$11:$C$26,2,FALSE)</f>
        <v xml:space="preserve">Disconnectability and accessibility of system components
</v>
      </c>
      <c r="D135" s="124"/>
      <c r="E135" s="124"/>
      <c r="F135" s="120">
        <f>VLOOKUP(B135,$B$11:$J$26,9)</f>
        <v>1</v>
      </c>
      <c r="G135" s="125"/>
      <c r="H135" s="126"/>
      <c r="I135" s="123">
        <f t="shared" si="48"/>
        <v>0.25</v>
      </c>
      <c r="J135" s="163" t="e">
        <f>F135*$G$114*$H$132*I135</f>
        <v>#N/A</v>
      </c>
      <c r="L135" s="222"/>
    </row>
    <row r="136" spans="1:23" ht="15.75" customHeight="1">
      <c r="B136" s="208" t="str">
        <f>'Indicators,16-12-21'!B19</f>
        <v>D14</v>
      </c>
      <c r="C136" s="119" t="str">
        <f>VLOOKUP(B136,$B$11:$C$26,2,FALSE)</f>
        <v>Possibility of layout through a free floor plan</v>
      </c>
      <c r="D136" s="128"/>
      <c r="E136" s="128"/>
      <c r="F136" s="120">
        <f>VLOOKUP(B136,$B$11:$J$26,9)</f>
        <v>1</v>
      </c>
      <c r="G136" s="130"/>
      <c r="H136" s="131"/>
      <c r="I136" s="123">
        <f t="shared" si="48"/>
        <v>0.25</v>
      </c>
      <c r="J136" s="163" t="e">
        <f t="shared" si="49"/>
        <v>#N/A</v>
      </c>
      <c r="L136" s="222"/>
      <c r="M136" s="159"/>
    </row>
    <row r="137" spans="1:23" s="137" customFormat="1" ht="15.75" customHeight="1">
      <c r="A137" s="7"/>
      <c r="B137" s="204"/>
      <c r="C137" s="110" t="s">
        <v>63</v>
      </c>
      <c r="D137" s="111"/>
      <c r="E137" s="111"/>
      <c r="F137" s="112"/>
      <c r="G137" s="113" t="e">
        <f>'Weighting factors,14-06-21'!AD20</f>
        <v>#N/A</v>
      </c>
      <c r="H137" s="36"/>
      <c r="I137" s="114"/>
      <c r="J137" s="161" t="e">
        <f>J138+J153</f>
        <v>#N/A</v>
      </c>
      <c r="K137" s="218"/>
      <c r="L137" s="222"/>
      <c r="M137" s="152"/>
      <c r="N137" s="217"/>
      <c r="O137" s="217"/>
      <c r="P137" s="218"/>
      <c r="Q137" s="218"/>
      <c r="R137" s="181"/>
      <c r="S137" s="181"/>
      <c r="T137" s="226"/>
      <c r="U137" s="226"/>
      <c r="V137" s="226"/>
      <c r="W137" s="226"/>
    </row>
    <row r="138" spans="1:23" ht="15.75" customHeight="1">
      <c r="B138" s="205"/>
      <c r="C138" s="115" t="s">
        <v>64</v>
      </c>
      <c r="D138" s="115"/>
      <c r="E138" s="115"/>
      <c r="F138" s="116"/>
      <c r="G138" s="117"/>
      <c r="H138" s="38" t="e">
        <f>'Weighting factors,14-06-21'!AD21</f>
        <v>#N/A</v>
      </c>
      <c r="I138" s="118"/>
      <c r="J138" s="162" t="e">
        <f>IF($F$28="x",0,SUM(J139:J152))</f>
        <v>#N/A</v>
      </c>
      <c r="L138" s="222">
        <f>SUM(I139:I152)</f>
        <v>1</v>
      </c>
    </row>
    <row r="139" spans="1:23" ht="15.75" customHeight="1">
      <c r="A139" s="160"/>
      <c r="B139" s="206" t="str">
        <f>'Indicators,16-12-21'!B5</f>
        <v>D01b</v>
      </c>
      <c r="C139" s="119" t="str">
        <f t="shared" ref="C139:C149" si="50">VLOOKUP(B139,$B$11:$C$26,2,FALSE)</f>
        <v>Distinction between load-bearing structure and systems (repurposing dynamics)</v>
      </c>
      <c r="D139" s="119"/>
      <c r="E139" s="119"/>
      <c r="F139" s="120">
        <f t="shared" ref="F139:F149" si="51">VLOOKUP(B139,$B$11:$J$26,9)</f>
        <v>1</v>
      </c>
      <c r="G139" s="121"/>
      <c r="H139" s="122"/>
      <c r="I139" s="123">
        <f>IF($O$20=1,1/(10*1+3*0.25),1/(10*1+0*0.25))</f>
        <v>9.3023255813953487E-2</v>
      </c>
      <c r="J139" s="163" t="e">
        <f>F139*$G$137*$H$138*I139</f>
        <v>#N/A</v>
      </c>
      <c r="L139" s="222"/>
    </row>
    <row r="140" spans="1:23" ht="15.75" customHeight="1">
      <c r="B140" s="207" t="str">
        <f>'Indicators,16-12-21'!B6</f>
        <v>D02a</v>
      </c>
      <c r="C140" s="119" t="str">
        <f t="shared" si="50"/>
        <v>Excess building area</v>
      </c>
      <c r="D140" s="124"/>
      <c r="E140" s="124"/>
      <c r="F140" s="120">
        <f t="shared" si="51"/>
        <v>1</v>
      </c>
      <c r="G140" s="125"/>
      <c r="H140" s="126"/>
      <c r="I140" s="123">
        <f>IF($O$20=1,1/2/(10*1+3*0.25),1/2/(10*1+0*0.25))</f>
        <v>4.6511627906976744E-2</v>
      </c>
      <c r="J140" s="163" t="e">
        <f t="shared" ref="J140:J151" si="52">F140*$G$137*$H$138*I140</f>
        <v>#N/A</v>
      </c>
      <c r="L140" s="222"/>
    </row>
    <row r="141" spans="1:23" ht="15.75" customHeight="1">
      <c r="B141" s="207" t="str">
        <f>'Indicators,16-12-21'!B7</f>
        <v>D02b</v>
      </c>
      <c r="C141" s="119" t="str">
        <f t="shared" si="50"/>
        <v>Oversized home</v>
      </c>
      <c r="D141" s="124"/>
      <c r="E141" s="124"/>
      <c r="F141" s="120">
        <f t="shared" si="51"/>
        <v>1</v>
      </c>
      <c r="G141" s="125"/>
      <c r="H141" s="126"/>
      <c r="I141" s="123">
        <f>IF($O$20=1,1/2/(10*1+3*0.25),1/2/(10*1+0*0.25))</f>
        <v>4.6511627906976744E-2</v>
      </c>
      <c r="J141" s="163" t="e">
        <f t="shared" si="52"/>
        <v>#N/A</v>
      </c>
      <c r="L141" s="222"/>
    </row>
    <row r="142" spans="1:23" ht="15.75" customHeight="1">
      <c r="B142" s="207" t="str">
        <f>'Indicators,16-12-21'!B8</f>
        <v>D03</v>
      </c>
      <c r="C142" s="119" t="str">
        <f t="shared" si="50"/>
        <v>Free floor height</v>
      </c>
      <c r="D142" s="124"/>
      <c r="E142" s="124"/>
      <c r="F142" s="120">
        <f t="shared" si="51"/>
        <v>1</v>
      </c>
      <c r="G142" s="125"/>
      <c r="H142" s="126"/>
      <c r="I142" s="123">
        <f t="shared" ref="I142:I149" si="53">IF($O$20=1,1/(10*1+3*0.25),1/(10*1+0*0.25))</f>
        <v>9.3023255813953487E-2</v>
      </c>
      <c r="J142" s="163" t="e">
        <f t="shared" si="52"/>
        <v>#N/A</v>
      </c>
      <c r="L142" s="222"/>
    </row>
    <row r="143" spans="1:23" ht="15.75" customHeight="1">
      <c r="B143" s="207" t="str">
        <f>'Indicators,16-12-21'!B11</f>
        <v>D06</v>
      </c>
      <c r="C143" s="119" t="str">
        <f t="shared" si="50"/>
        <v xml:space="preserve">Adjustability of systems
</v>
      </c>
      <c r="D143" s="124"/>
      <c r="E143" s="124"/>
      <c r="F143" s="120">
        <f t="shared" si="51"/>
        <v>1</v>
      </c>
      <c r="G143" s="125"/>
      <c r="H143" s="126"/>
      <c r="I143" s="123">
        <f t="shared" si="53"/>
        <v>9.3023255813953487E-2</v>
      </c>
      <c r="J143" s="163" t="e">
        <f t="shared" si="52"/>
        <v>#N/A</v>
      </c>
      <c r="L143" s="222"/>
    </row>
    <row r="144" spans="1:23" ht="15.75" customHeight="1">
      <c r="B144" s="207" t="str">
        <f>'Indicators,16-12-21'!B12</f>
        <v>D07</v>
      </c>
      <c r="C144" s="119" t="str">
        <f t="shared" si="50"/>
        <v xml:space="preserve">Relocatable interior walls
</v>
      </c>
      <c r="D144" s="124"/>
      <c r="E144" s="124"/>
      <c r="F144" s="120">
        <f t="shared" si="51"/>
        <v>1</v>
      </c>
      <c r="G144" s="125"/>
      <c r="H144" s="126"/>
      <c r="I144" s="123">
        <f t="shared" si="53"/>
        <v>9.3023255813953487E-2</v>
      </c>
      <c r="J144" s="163" t="e">
        <f t="shared" si="52"/>
        <v>#N/A</v>
      </c>
      <c r="L144" s="222"/>
    </row>
    <row r="145" spans="1:23" ht="15.75" customHeight="1">
      <c r="B145" s="207" t="str">
        <f>'Indicators,16-12-21'!B13</f>
        <v>D08</v>
      </c>
      <c r="C145" s="119" t="str">
        <f t="shared" si="50"/>
        <v xml:space="preserve">Disconnectability and accessibility of system components
</v>
      </c>
      <c r="D145" s="124"/>
      <c r="E145" s="124"/>
      <c r="F145" s="120">
        <f t="shared" si="51"/>
        <v>1</v>
      </c>
      <c r="G145" s="125"/>
      <c r="H145" s="126"/>
      <c r="I145" s="123">
        <f t="shared" si="53"/>
        <v>9.3023255813953487E-2</v>
      </c>
      <c r="J145" s="163" t="e">
        <f t="shared" si="52"/>
        <v>#N/A</v>
      </c>
      <c r="L145" s="222"/>
    </row>
    <row r="146" spans="1:23" ht="15.75" customHeight="1">
      <c r="B146" s="207" t="str">
        <f>'Indicators,16-12-21'!B14</f>
        <v>D09</v>
      </c>
      <c r="C146" s="119" t="str">
        <f t="shared" si="50"/>
        <v>Positioning of load-bearing structure obstacles</v>
      </c>
      <c r="D146" s="124"/>
      <c r="E146" s="124"/>
      <c r="F146" s="120">
        <f t="shared" si="51"/>
        <v>1</v>
      </c>
      <c r="G146" s="125"/>
      <c r="H146" s="126"/>
      <c r="I146" s="123">
        <f t="shared" si="53"/>
        <v>9.3023255813953487E-2</v>
      </c>
      <c r="J146" s="163" t="e">
        <f>F146*$G$137*$H$138*I146</f>
        <v>#N/A</v>
      </c>
      <c r="L146" s="222"/>
    </row>
    <row r="147" spans="1:23" ht="15.75" customHeight="1">
      <c r="B147" s="207" t="str">
        <f>'Indicators,16-12-21'!B15</f>
        <v>D10</v>
      </c>
      <c r="C147" s="119" t="str">
        <f t="shared" si="50"/>
        <v xml:space="preserve">Daylighting
</v>
      </c>
      <c r="D147" s="124"/>
      <c r="E147" s="124"/>
      <c r="F147" s="120">
        <f t="shared" si="51"/>
        <v>1</v>
      </c>
      <c r="G147" s="125"/>
      <c r="H147" s="126"/>
      <c r="I147" s="123">
        <f t="shared" si="53"/>
        <v>9.3023255813953487E-2</v>
      </c>
      <c r="J147" s="163" t="e">
        <f t="shared" si="52"/>
        <v>#N/A</v>
      </c>
      <c r="L147" s="222"/>
    </row>
    <row r="148" spans="1:23" ht="15.75" customHeight="1">
      <c r="B148" s="207" t="str">
        <f>'Indicators,16-12-21'!B17</f>
        <v>D12</v>
      </c>
      <c r="C148" s="119" t="str">
        <f t="shared" si="50"/>
        <v xml:space="preserve">Multifunctional use of building or home/unit over time
</v>
      </c>
      <c r="D148" s="124"/>
      <c r="E148" s="124"/>
      <c r="F148" s="120">
        <f t="shared" si="51"/>
        <v>1</v>
      </c>
      <c r="G148" s="125"/>
      <c r="H148" s="126"/>
      <c r="I148" s="123">
        <f t="shared" si="53"/>
        <v>9.3023255813953487E-2</v>
      </c>
      <c r="J148" s="163" t="e">
        <f t="shared" si="52"/>
        <v>#N/A</v>
      </c>
      <c r="L148" s="222"/>
    </row>
    <row r="149" spans="1:23" ht="15.75" customHeight="1">
      <c r="B149" s="207" t="str">
        <f>'Indicators,16-12-21'!B18</f>
        <v>D13</v>
      </c>
      <c r="C149" s="119" t="str">
        <f t="shared" si="50"/>
        <v>Load-bearing floors</v>
      </c>
      <c r="D149" s="124"/>
      <c r="E149" s="124"/>
      <c r="F149" s="120">
        <f t="shared" si="51"/>
        <v>1</v>
      </c>
      <c r="G149" s="125"/>
      <c r="H149" s="126"/>
      <c r="I149" s="123">
        <f t="shared" si="53"/>
        <v>9.3023255813953487E-2</v>
      </c>
      <c r="J149" s="163" t="e">
        <f t="shared" si="52"/>
        <v>#N/A</v>
      </c>
      <c r="L149" s="222"/>
    </row>
    <row r="150" spans="1:23" ht="15.75" customHeight="1">
      <c r="B150" s="207" t="str">
        <f>'Indicators,16-12-21'!B21</f>
        <v>A02</v>
      </c>
      <c r="C150" s="138" t="str">
        <f t="shared" ref="C150:C152" si="54">VLOOKUP(B150,$B$29:$C$36,2,FALSE)</f>
        <v>Utility function: possibility of dividing the area into units of the size indicated.</v>
      </c>
      <c r="D150" s="124"/>
      <c r="E150" s="124"/>
      <c r="F150" s="129">
        <f t="shared" ref="F150:F152" si="55">VLOOKUP(B150,$B$29:$J$36,9)</f>
        <v>1</v>
      </c>
      <c r="G150" s="125"/>
      <c r="H150" s="126"/>
      <c r="I150" s="123">
        <f>IF($O$20=1,0.25/(10*1+3*0.25),0)</f>
        <v>2.3255813953488372E-2</v>
      </c>
      <c r="J150" s="163" t="e">
        <f t="shared" si="52"/>
        <v>#N/A</v>
      </c>
      <c r="L150" s="222"/>
    </row>
    <row r="151" spans="1:23" ht="15.75" customHeight="1" collapsed="1">
      <c r="B151" s="207" t="str">
        <f>'Indicators,16-12-21'!B24</f>
        <v>A05</v>
      </c>
      <c r="C151" s="138" t="str">
        <f t="shared" si="54"/>
        <v>Demountable façade</v>
      </c>
      <c r="D151" s="124"/>
      <c r="E151" s="124"/>
      <c r="F151" s="129">
        <f t="shared" si="55"/>
        <v>1</v>
      </c>
      <c r="G151" s="125"/>
      <c r="H151" s="126"/>
      <c r="I151" s="123">
        <f t="shared" ref="I151:I152" si="56">IF($O$20=1,0.25/(10*1+3*0.25),0)</f>
        <v>2.3255813953488372E-2</v>
      </c>
      <c r="J151" s="163" t="e">
        <f t="shared" si="52"/>
        <v>#N/A</v>
      </c>
      <c r="L151" s="222"/>
    </row>
    <row r="152" spans="1:23" s="7" customFormat="1" ht="15.75" customHeight="1">
      <c r="B152" s="207" t="str">
        <f>'Indicators,16-12-21'!B26</f>
        <v>A07</v>
      </c>
      <c r="C152" s="138" t="str">
        <f t="shared" si="54"/>
        <v>Possibility of balconies on the façade</v>
      </c>
      <c r="D152" s="138"/>
      <c r="E152" s="124"/>
      <c r="F152" s="129">
        <f t="shared" si="55"/>
        <v>1</v>
      </c>
      <c r="G152" s="134"/>
      <c r="H152" s="135"/>
      <c r="I152" s="144">
        <f t="shared" si="56"/>
        <v>2.3255813953488372E-2</v>
      </c>
      <c r="J152" s="163" t="e">
        <f>F152*$G$137*$H$138*I152</f>
        <v>#N/A</v>
      </c>
      <c r="K152" s="223"/>
      <c r="L152" s="222"/>
      <c r="M152" s="152"/>
      <c r="N152" s="212"/>
      <c r="O152" s="212"/>
      <c r="P152" s="213"/>
      <c r="Q152" s="213"/>
      <c r="R152" s="180"/>
      <c r="S152" s="180"/>
      <c r="T152" s="180"/>
      <c r="U152" s="180"/>
      <c r="V152" s="180"/>
      <c r="W152" s="180"/>
    </row>
    <row r="153" spans="1:23" ht="15.75" customHeight="1">
      <c r="B153" s="209"/>
      <c r="C153" s="139" t="s">
        <v>65</v>
      </c>
      <c r="D153" s="139"/>
      <c r="E153" s="139"/>
      <c r="F153" s="140"/>
      <c r="G153" s="117"/>
      <c r="H153" s="38" t="e">
        <f>'Weighting factors,14-06-21'!AD22</f>
        <v>#N/A</v>
      </c>
      <c r="I153" s="118"/>
      <c r="J153" s="162" t="e">
        <f>IF($F$28="x",0,SUM(J154:J161))</f>
        <v>#N/A</v>
      </c>
      <c r="L153" s="222">
        <f>SUM(I154:I161)</f>
        <v>1</v>
      </c>
    </row>
    <row r="154" spans="1:23" ht="15.75" customHeight="1">
      <c r="A154" s="141"/>
      <c r="B154" s="206" t="str">
        <f>'Indicators,16-12-21'!B5</f>
        <v>D01b</v>
      </c>
      <c r="C154" s="119" t="str">
        <f t="shared" ref="C154:C160" si="57">VLOOKUP(B154,$B$11:$C$26,2,FALSE)</f>
        <v>Distinction between load-bearing structure and systems (repurposing dynamics)</v>
      </c>
      <c r="D154" s="119"/>
      <c r="E154" s="119"/>
      <c r="F154" s="120">
        <f t="shared" ref="F154:F160" si="58">VLOOKUP(B154,$B$11:$J$26,9)</f>
        <v>1</v>
      </c>
      <c r="G154" s="121"/>
      <c r="H154" s="122"/>
      <c r="I154" s="123">
        <f>IF($O$20=1,1/(6*1+1*0.25),1/(6*1+0*0.25))</f>
        <v>0.16</v>
      </c>
      <c r="J154" s="163" t="e">
        <f>F154*$G$137*$H$153*I154</f>
        <v>#N/A</v>
      </c>
      <c r="K154" s="223"/>
      <c r="L154" s="222"/>
    </row>
    <row r="155" spans="1:23" ht="15.75" customHeight="1">
      <c r="B155" s="207" t="str">
        <f>'Indicators,16-12-21'!B6</f>
        <v>D02a</v>
      </c>
      <c r="C155" s="119" t="str">
        <f t="shared" si="57"/>
        <v>Excess building area</v>
      </c>
      <c r="D155" s="124"/>
      <c r="E155" s="124"/>
      <c r="F155" s="120">
        <f t="shared" si="58"/>
        <v>1</v>
      </c>
      <c r="G155" s="125"/>
      <c r="H155" s="126"/>
      <c r="I155" s="123">
        <f>IF($O$20=1,1/2/(6*1+1*0.25),1/2/(6*1+0*0.25))</f>
        <v>0.08</v>
      </c>
      <c r="J155" s="163" t="e">
        <f t="shared" ref="J155:J161" si="59">F155*$G$137*$H$153*I155</f>
        <v>#N/A</v>
      </c>
      <c r="L155" s="222"/>
      <c r="M155" s="153"/>
    </row>
    <row r="156" spans="1:23" ht="15.75" customHeight="1">
      <c r="B156" s="207" t="str">
        <f>'Indicators,16-12-21'!B7</f>
        <v>D02b</v>
      </c>
      <c r="C156" s="119" t="str">
        <f t="shared" si="57"/>
        <v>Oversized home</v>
      </c>
      <c r="D156" s="124"/>
      <c r="E156" s="124"/>
      <c r="F156" s="120">
        <f t="shared" si="58"/>
        <v>1</v>
      </c>
      <c r="G156" s="125"/>
      <c r="H156" s="126"/>
      <c r="I156" s="123">
        <f>IF($O$20=1,1/2/(6*1+1*0.25),1/2/(6*1+0*0.25))</f>
        <v>0.08</v>
      </c>
      <c r="J156" s="163" t="e">
        <f t="shared" si="59"/>
        <v>#N/A</v>
      </c>
      <c r="L156" s="222"/>
      <c r="M156" s="153"/>
    </row>
    <row r="157" spans="1:23" ht="15.75" customHeight="1">
      <c r="A157" s="141"/>
      <c r="B157" s="207" t="str">
        <f>'Indicators,16-12-21'!B8</f>
        <v>D03</v>
      </c>
      <c r="C157" s="119" t="str">
        <f t="shared" si="57"/>
        <v>Free floor height</v>
      </c>
      <c r="D157" s="124"/>
      <c r="E157" s="124"/>
      <c r="F157" s="120">
        <f t="shared" si="58"/>
        <v>1</v>
      </c>
      <c r="G157" s="125"/>
      <c r="H157" s="126"/>
      <c r="I157" s="123">
        <f t="shared" ref="I157:I160" si="60">IF($O$20=1,1/(6*1+1*0.25),1/(6*1+0*0.25))</f>
        <v>0.16</v>
      </c>
      <c r="J157" s="163" t="e">
        <f>F157*$G$137*$H$153*I157</f>
        <v>#N/A</v>
      </c>
      <c r="L157" s="222"/>
      <c r="M157" s="153"/>
    </row>
    <row r="158" spans="1:23" ht="15.75" customHeight="1">
      <c r="B158" s="207" t="str">
        <f>'Indicators,16-12-21'!B11</f>
        <v>D06</v>
      </c>
      <c r="C158" s="119" t="str">
        <f t="shared" si="57"/>
        <v xml:space="preserve">Adjustability of systems
</v>
      </c>
      <c r="D158" s="124"/>
      <c r="E158" s="124"/>
      <c r="F158" s="120">
        <f t="shared" si="58"/>
        <v>1</v>
      </c>
      <c r="G158" s="125"/>
      <c r="H158" s="126"/>
      <c r="I158" s="123">
        <f t="shared" si="60"/>
        <v>0.16</v>
      </c>
      <c r="J158" s="163" t="e">
        <f t="shared" si="59"/>
        <v>#N/A</v>
      </c>
      <c r="L158" s="222"/>
      <c r="M158" s="153"/>
    </row>
    <row r="159" spans="1:23" ht="15.75" customHeight="1">
      <c r="B159" s="207" t="str">
        <f>'Indicators,16-12-21'!B12</f>
        <v>D07</v>
      </c>
      <c r="C159" s="119" t="str">
        <f t="shared" si="57"/>
        <v xml:space="preserve">Relocatable interior walls
</v>
      </c>
      <c r="D159" s="124"/>
      <c r="E159" s="124"/>
      <c r="F159" s="120">
        <f t="shared" si="58"/>
        <v>1</v>
      </c>
      <c r="G159" s="125"/>
      <c r="H159" s="126"/>
      <c r="I159" s="123">
        <f t="shared" si="60"/>
        <v>0.16</v>
      </c>
      <c r="J159" s="163" t="e">
        <f t="shared" si="59"/>
        <v>#N/A</v>
      </c>
      <c r="L159" s="222"/>
      <c r="M159" s="153"/>
    </row>
    <row r="160" spans="1:23" ht="15.75" customHeight="1" collapsed="1">
      <c r="B160" s="207" t="str">
        <f>'Indicators,16-12-21'!B13</f>
        <v>D08</v>
      </c>
      <c r="C160" s="119" t="str">
        <f t="shared" si="57"/>
        <v xml:space="preserve">Disconnectability and accessibility of system components
</v>
      </c>
      <c r="D160" s="124"/>
      <c r="E160" s="124"/>
      <c r="F160" s="120">
        <f t="shared" si="58"/>
        <v>1</v>
      </c>
      <c r="G160" s="125"/>
      <c r="H160" s="126"/>
      <c r="I160" s="123">
        <f t="shared" si="60"/>
        <v>0.16</v>
      </c>
      <c r="J160" s="163" t="e">
        <f>F160*$G$137*$H$153*I160</f>
        <v>#N/A</v>
      </c>
      <c r="L160" s="222"/>
      <c r="M160" s="153"/>
    </row>
    <row r="161" spans="2:23" ht="15.75" customHeight="1">
      <c r="B161" s="208" t="str">
        <f>'Indicators,16-12-21'!B21</f>
        <v>A02</v>
      </c>
      <c r="C161" s="138" t="str">
        <f t="shared" ref="C161" si="61">VLOOKUP(B161,$B$29:$C$36,2,FALSE)</f>
        <v>Utility function: possibility of dividing the area into units of the size indicated.</v>
      </c>
      <c r="D161" s="133"/>
      <c r="E161" s="128"/>
      <c r="F161" s="129">
        <f t="shared" ref="F161" si="62">VLOOKUP(B161,$B$29:$J$36,9)</f>
        <v>1</v>
      </c>
      <c r="G161" s="134"/>
      <c r="H161" s="135"/>
      <c r="I161" s="123">
        <f>IF($O$20=1,0.25/(6*1+1*0.25),0)</f>
        <v>0.04</v>
      </c>
      <c r="J161" s="163" t="e">
        <f t="shared" si="59"/>
        <v>#N/A</v>
      </c>
      <c r="L161" s="222"/>
      <c r="M161" s="159"/>
    </row>
    <row r="162" spans="2:23" s="7" customFormat="1" ht="15.75" customHeight="1">
      <c r="B162" s="204"/>
      <c r="C162" s="110" t="s">
        <v>66</v>
      </c>
      <c r="D162" s="111"/>
      <c r="E162" s="111"/>
      <c r="F162" s="112"/>
      <c r="G162" s="113" t="e">
        <f>'Weighting factors,14-06-21'!AD23</f>
        <v>#N/A</v>
      </c>
      <c r="H162" s="36"/>
      <c r="I162" s="114"/>
      <c r="J162" s="161" t="e">
        <f>J174+J163</f>
        <v>#N/A</v>
      </c>
      <c r="K162" s="213"/>
      <c r="L162" s="222"/>
      <c r="M162" s="152"/>
      <c r="N162" s="212"/>
      <c r="O162" s="212"/>
      <c r="P162" s="213"/>
      <c r="Q162" s="213"/>
      <c r="R162" s="180"/>
      <c r="S162" s="180"/>
      <c r="T162" s="180"/>
      <c r="U162" s="180"/>
      <c r="V162" s="180"/>
      <c r="W162" s="180"/>
    </row>
    <row r="163" spans="2:23" ht="15.75" customHeight="1">
      <c r="B163" s="205"/>
      <c r="C163" s="115" t="s">
        <v>67</v>
      </c>
      <c r="D163" s="115"/>
      <c r="E163" s="115"/>
      <c r="F163" s="116"/>
      <c r="G163" s="117"/>
      <c r="H163" s="38" t="e">
        <f>'Weighting factors,14-06-21'!AD24</f>
        <v>#N/A</v>
      </c>
      <c r="I163" s="118"/>
      <c r="J163" s="162" t="e">
        <f>SUM(J164:J173)</f>
        <v>#N/A</v>
      </c>
      <c r="L163" s="222">
        <f>SUM(I164:I173)</f>
        <v>0.99999999999999989</v>
      </c>
      <c r="M163" s="153"/>
    </row>
    <row r="164" spans="2:23" ht="15.75" customHeight="1">
      <c r="B164" s="206" t="str">
        <f>'Indicators,16-12-21'!B5</f>
        <v>D01b</v>
      </c>
      <c r="C164" s="119" t="str">
        <f t="shared" ref="C164:C171" si="63">VLOOKUP(B164,$B$11:$C$26,2,FALSE)</f>
        <v>Distinction between load-bearing structure and systems (repurposing dynamics)</v>
      </c>
      <c r="D164" s="119"/>
      <c r="E164" s="119"/>
      <c r="F164" s="120">
        <f t="shared" ref="F164:F171" si="64">VLOOKUP(B164,$B$11:$J$26,9)</f>
        <v>1</v>
      </c>
      <c r="G164" s="121"/>
      <c r="H164" s="122"/>
      <c r="I164" s="123">
        <f>IF($O$20=1,1/(7*1+2*0.25),1/(7*1+0*0.25))</f>
        <v>0.13333333333333333</v>
      </c>
      <c r="J164" s="163" t="e">
        <f>F164*$G$162*$H$163*I164</f>
        <v>#N/A</v>
      </c>
      <c r="L164" s="222"/>
      <c r="M164" s="153"/>
      <c r="N164" s="213"/>
      <c r="O164" s="213"/>
    </row>
    <row r="165" spans="2:23" ht="15.75" customHeight="1">
      <c r="B165" s="207" t="str">
        <f>'Indicators,16-12-21'!B6</f>
        <v>D02a</v>
      </c>
      <c r="C165" s="119" t="str">
        <f t="shared" si="63"/>
        <v>Excess building area</v>
      </c>
      <c r="D165" s="124"/>
      <c r="E165" s="124"/>
      <c r="F165" s="120">
        <f t="shared" si="64"/>
        <v>1</v>
      </c>
      <c r="G165" s="125"/>
      <c r="H165" s="126"/>
      <c r="I165" s="123">
        <f>IF($O$20=1,1/2/(7*1+2*0.25),1/2/(7*1+0*0.25))</f>
        <v>6.6666666666666666E-2</v>
      </c>
      <c r="J165" s="163" t="e">
        <f t="shared" ref="J165:J171" si="65">F165*$G$162*$H$163*I165</f>
        <v>#N/A</v>
      </c>
      <c r="L165" s="222"/>
      <c r="M165" s="153"/>
    </row>
    <row r="166" spans="2:23" ht="15.75" customHeight="1">
      <c r="B166" s="207" t="str">
        <f>'Indicators,16-12-21'!B7</f>
        <v>D02b</v>
      </c>
      <c r="C166" s="119" t="str">
        <f t="shared" si="63"/>
        <v>Oversized home</v>
      </c>
      <c r="D166" s="124"/>
      <c r="E166" s="124"/>
      <c r="F166" s="120">
        <f t="shared" si="64"/>
        <v>1</v>
      </c>
      <c r="G166" s="125"/>
      <c r="H166" s="126"/>
      <c r="I166" s="123">
        <f>IF($O$20=1,1/2/(7*1+2*0.25),1/2/(7*1+0*0.25))</f>
        <v>6.6666666666666666E-2</v>
      </c>
      <c r="J166" s="163" t="e">
        <f t="shared" si="65"/>
        <v>#N/A</v>
      </c>
      <c r="L166" s="222"/>
      <c r="M166" s="153"/>
    </row>
    <row r="167" spans="2:23" ht="15.75" customHeight="1">
      <c r="B167" s="207" t="str">
        <f>'Indicators,16-12-21'!B8</f>
        <v>D03</v>
      </c>
      <c r="C167" s="119" t="str">
        <f t="shared" si="63"/>
        <v>Free floor height</v>
      </c>
      <c r="D167" s="124"/>
      <c r="E167" s="124"/>
      <c r="F167" s="120">
        <f t="shared" si="64"/>
        <v>1</v>
      </c>
      <c r="G167" s="125"/>
      <c r="H167" s="126"/>
      <c r="I167" s="123">
        <f t="shared" ref="I167:I171" si="66">IF($O$20=1,1/(7*1+2*0.25),1/(7*1+0*0.25))</f>
        <v>0.13333333333333333</v>
      </c>
      <c r="J167" s="163" t="e">
        <f t="shared" si="65"/>
        <v>#N/A</v>
      </c>
      <c r="L167" s="222"/>
      <c r="N167" s="213"/>
      <c r="O167" s="213"/>
    </row>
    <row r="168" spans="2:23" ht="15.75" customHeight="1">
      <c r="B168" s="207" t="str">
        <f>'Indicators,16-12-21'!B11</f>
        <v>D06</v>
      </c>
      <c r="C168" s="119" t="str">
        <f t="shared" si="63"/>
        <v xml:space="preserve">Adjustability of systems
</v>
      </c>
      <c r="D168" s="124"/>
      <c r="E168" s="124"/>
      <c r="F168" s="120">
        <f t="shared" si="64"/>
        <v>1</v>
      </c>
      <c r="G168" s="125"/>
      <c r="H168" s="126"/>
      <c r="I168" s="123">
        <f t="shared" si="66"/>
        <v>0.13333333333333333</v>
      </c>
      <c r="J168" s="163" t="e">
        <f t="shared" si="65"/>
        <v>#N/A</v>
      </c>
      <c r="L168" s="222"/>
      <c r="M168" s="153"/>
      <c r="N168" s="213"/>
      <c r="O168" s="213"/>
    </row>
    <row r="169" spans="2:23" ht="15.75" customHeight="1">
      <c r="B169" s="207" t="str">
        <f>'Indicators,16-12-21'!B13</f>
        <v>D08</v>
      </c>
      <c r="C169" s="119" t="str">
        <f t="shared" si="63"/>
        <v xml:space="preserve">Disconnectability and accessibility of system components
</v>
      </c>
      <c r="D169" s="124"/>
      <c r="E169" s="124"/>
      <c r="F169" s="120">
        <f t="shared" si="64"/>
        <v>1</v>
      </c>
      <c r="G169" s="125"/>
      <c r="H169" s="126"/>
      <c r="I169" s="123">
        <f t="shared" si="66"/>
        <v>0.13333333333333333</v>
      </c>
      <c r="J169" s="163" t="e">
        <f t="shared" si="65"/>
        <v>#N/A</v>
      </c>
      <c r="L169" s="222"/>
      <c r="M169" s="153"/>
      <c r="N169" s="213"/>
      <c r="O169" s="213"/>
    </row>
    <row r="170" spans="2:23" ht="15.75" customHeight="1">
      <c r="B170" s="207" t="str">
        <f>'Indicators,16-12-21'!B17</f>
        <v>D12</v>
      </c>
      <c r="C170" s="119" t="str">
        <f t="shared" si="63"/>
        <v xml:space="preserve">Multifunctional use of building or home/unit over time
</v>
      </c>
      <c r="D170" s="124"/>
      <c r="E170" s="124"/>
      <c r="F170" s="120">
        <f t="shared" si="64"/>
        <v>1</v>
      </c>
      <c r="G170" s="125"/>
      <c r="H170" s="126"/>
      <c r="I170" s="123">
        <f t="shared" si="66"/>
        <v>0.13333333333333333</v>
      </c>
      <c r="J170" s="163" t="e">
        <f t="shared" si="65"/>
        <v>#N/A</v>
      </c>
      <c r="L170" s="222"/>
      <c r="M170" s="153"/>
      <c r="N170" s="213"/>
      <c r="O170" s="213"/>
    </row>
    <row r="171" spans="2:23" ht="15.75" customHeight="1">
      <c r="B171" s="207" t="str">
        <f>'Indicators,16-12-21'!B18</f>
        <v>D13</v>
      </c>
      <c r="C171" s="119" t="str">
        <f t="shared" si="63"/>
        <v>Load-bearing floors</v>
      </c>
      <c r="D171" s="124"/>
      <c r="E171" s="124"/>
      <c r="F171" s="120">
        <f t="shared" si="64"/>
        <v>1</v>
      </c>
      <c r="G171" s="125"/>
      <c r="H171" s="126"/>
      <c r="I171" s="123">
        <f t="shared" si="66"/>
        <v>0.13333333333333333</v>
      </c>
      <c r="J171" s="163" t="e">
        <f t="shared" si="65"/>
        <v>#N/A</v>
      </c>
      <c r="L171" s="222"/>
      <c r="M171" s="153"/>
      <c r="N171" s="213"/>
      <c r="O171" s="213"/>
    </row>
    <row r="172" spans="2:23" ht="15.75" customHeight="1" collapsed="1">
      <c r="B172" s="207" t="str">
        <f>'Indicators,16-12-21'!B24</f>
        <v>A05</v>
      </c>
      <c r="C172" s="138" t="str">
        <f t="shared" ref="C172:C173" si="67">VLOOKUP(B172,$B$29:$C$36,2,FALSE)</f>
        <v>Demountable façade</v>
      </c>
      <c r="D172" s="138"/>
      <c r="E172" s="124"/>
      <c r="F172" s="129">
        <f t="shared" ref="F172:F173" si="68">VLOOKUP(B172,$B$29:$J$36,9)</f>
        <v>1</v>
      </c>
      <c r="G172" s="142"/>
      <c r="H172" s="143"/>
      <c r="I172" s="123">
        <f>IF($O$20=1,0.25/(7*1+2*0.25),0)</f>
        <v>3.3333333333333333E-2</v>
      </c>
      <c r="J172" s="163" t="e">
        <f>F172*$G$162*$H$163*I172</f>
        <v>#N/A</v>
      </c>
      <c r="L172" s="222"/>
      <c r="M172" s="153"/>
    </row>
    <row r="173" spans="2:23" s="7" customFormat="1" ht="15.75" customHeight="1">
      <c r="B173" s="208" t="str">
        <f>'Indicators,16-12-21'!B26</f>
        <v>A07</v>
      </c>
      <c r="C173" s="138" t="str">
        <f t="shared" si="67"/>
        <v>Possibility of balconies on the façade</v>
      </c>
      <c r="D173" s="133"/>
      <c r="E173" s="128"/>
      <c r="F173" s="129">
        <f t="shared" si="68"/>
        <v>1</v>
      </c>
      <c r="G173" s="134"/>
      <c r="H173" s="135"/>
      <c r="I173" s="132">
        <f>IF($O$20=1,0.25/(7*1+2*0.25),0)</f>
        <v>3.3333333333333333E-2</v>
      </c>
      <c r="J173" s="163" t="e">
        <f>F173*$G$162*$H$163*I173</f>
        <v>#N/A</v>
      </c>
      <c r="K173" s="213"/>
      <c r="L173" s="222"/>
      <c r="M173" s="152"/>
      <c r="N173" s="212"/>
      <c r="O173" s="212"/>
      <c r="P173" s="213"/>
      <c r="Q173" s="213"/>
      <c r="R173" s="180"/>
      <c r="S173" s="180"/>
      <c r="T173" s="180"/>
      <c r="U173" s="180"/>
      <c r="V173" s="180"/>
      <c r="W173" s="180"/>
    </row>
    <row r="174" spans="2:23" ht="15.75" customHeight="1">
      <c r="B174" s="205"/>
      <c r="C174" s="115" t="s">
        <v>68</v>
      </c>
      <c r="D174" s="115"/>
      <c r="E174" s="115"/>
      <c r="F174" s="116"/>
      <c r="G174" s="117"/>
      <c r="H174" s="38" t="e">
        <f>'Weighting factors,14-06-21'!AD25</f>
        <v>#N/A</v>
      </c>
      <c r="I174" s="118"/>
      <c r="J174" s="162" t="e">
        <f>SUM(J175:J187)</f>
        <v>#N/A</v>
      </c>
      <c r="L174" s="222">
        <f>SUM(I175:I187)</f>
        <v>0.99999999999999989</v>
      </c>
      <c r="M174" s="153"/>
    </row>
    <row r="175" spans="2:23" ht="15.75" customHeight="1">
      <c r="B175" s="206" t="str">
        <f>'Indicators,16-12-21'!B5</f>
        <v>D01b</v>
      </c>
      <c r="C175" s="119" t="str">
        <f t="shared" ref="C175:C181" si="69">VLOOKUP(B175,$B$11:$C$26,2,FALSE)</f>
        <v>Distinction between load-bearing structure and systems (repurposing dynamics)</v>
      </c>
      <c r="D175" s="119"/>
      <c r="E175" s="119"/>
      <c r="F175" s="120">
        <f t="shared" ref="F175:F181" si="70">VLOOKUP(B175,$B$11:$J$26,9)</f>
        <v>1</v>
      </c>
      <c r="G175" s="121"/>
      <c r="H175" s="122"/>
      <c r="I175" s="123">
        <f>IF($O$20=1,1/(6*1+6*0.25),1/(6*1+0*0.25))</f>
        <v>0.13333333333333333</v>
      </c>
      <c r="J175" s="163" t="e">
        <f>F175*$G$162*$H$174*I175</f>
        <v>#N/A</v>
      </c>
      <c r="L175" s="222"/>
      <c r="M175" s="153"/>
    </row>
    <row r="176" spans="2:23" ht="15.75" customHeight="1">
      <c r="B176" s="207" t="str">
        <f>'Indicators,16-12-21'!B6</f>
        <v>D02a</v>
      </c>
      <c r="C176" s="119" t="str">
        <f t="shared" si="69"/>
        <v>Excess building area</v>
      </c>
      <c r="D176" s="124"/>
      <c r="E176" s="124"/>
      <c r="F176" s="120">
        <f t="shared" si="70"/>
        <v>1</v>
      </c>
      <c r="G176" s="125"/>
      <c r="H176" s="126"/>
      <c r="I176" s="123">
        <f>IF($O$20=1,1/2/(6*1+6*0.25),1/2/(6*1+0*0.25))</f>
        <v>6.6666666666666666E-2</v>
      </c>
      <c r="J176" s="163" t="e">
        <f t="shared" ref="J176:J187" si="71">F176*$G$162*$H$174*I176</f>
        <v>#N/A</v>
      </c>
      <c r="L176" s="222"/>
    </row>
    <row r="177" spans="2:15" ht="15.75" customHeight="1">
      <c r="B177" s="207" t="str">
        <f>'Indicators,16-12-21'!B7</f>
        <v>D02b</v>
      </c>
      <c r="C177" s="119" t="str">
        <f t="shared" si="69"/>
        <v>Oversized home</v>
      </c>
      <c r="D177" s="124"/>
      <c r="E177" s="124"/>
      <c r="F177" s="120">
        <f t="shared" si="70"/>
        <v>1</v>
      </c>
      <c r="G177" s="125"/>
      <c r="H177" s="126"/>
      <c r="I177" s="123">
        <f>IF($O$20=1,1/2/(6*1+6*0.25),1/2/(6*1+0*0.25))</f>
        <v>6.6666666666666666E-2</v>
      </c>
      <c r="J177" s="163" t="e">
        <f t="shared" si="71"/>
        <v>#N/A</v>
      </c>
      <c r="L177" s="222"/>
    </row>
    <row r="178" spans="2:15" ht="15.75" customHeight="1">
      <c r="B178" s="207" t="str">
        <f>'Indicators,16-12-21'!B8</f>
        <v>D03</v>
      </c>
      <c r="C178" s="119" t="str">
        <f t="shared" si="69"/>
        <v>Free floor height</v>
      </c>
      <c r="D178" s="124"/>
      <c r="E178" s="124"/>
      <c r="F178" s="120">
        <f t="shared" si="70"/>
        <v>1</v>
      </c>
      <c r="G178" s="125"/>
      <c r="H178" s="126"/>
      <c r="I178" s="123">
        <f t="shared" ref="I178:I181" si="72">IF($O$20=1,1/(6*1+6*0.25),1/(6*1+0*0.25))</f>
        <v>0.13333333333333333</v>
      </c>
      <c r="J178" s="163" t="e">
        <f t="shared" si="71"/>
        <v>#N/A</v>
      </c>
      <c r="L178" s="222"/>
    </row>
    <row r="179" spans="2:15" ht="15.75" customHeight="1">
      <c r="B179" s="207" t="str">
        <f>'Indicators,16-12-21'!B12</f>
        <v>D07</v>
      </c>
      <c r="C179" s="119" t="str">
        <f t="shared" si="69"/>
        <v xml:space="preserve">Relocatable interior walls
</v>
      </c>
      <c r="D179" s="124"/>
      <c r="E179" s="124"/>
      <c r="F179" s="120">
        <f t="shared" si="70"/>
        <v>1</v>
      </c>
      <c r="G179" s="125"/>
      <c r="H179" s="126"/>
      <c r="I179" s="123">
        <f t="shared" si="72"/>
        <v>0.13333333333333333</v>
      </c>
      <c r="J179" s="163" t="e">
        <f t="shared" si="71"/>
        <v>#N/A</v>
      </c>
      <c r="L179" s="222"/>
    </row>
    <row r="180" spans="2:15" ht="15.75" customHeight="1">
      <c r="B180" s="207" t="str">
        <f>'Indicators,16-12-21'!B15</f>
        <v>D10</v>
      </c>
      <c r="C180" s="119" t="str">
        <f t="shared" si="69"/>
        <v xml:space="preserve">Daylighting
</v>
      </c>
      <c r="D180" s="124"/>
      <c r="E180" s="124"/>
      <c r="F180" s="120">
        <f t="shared" si="70"/>
        <v>1</v>
      </c>
      <c r="G180" s="125"/>
      <c r="H180" s="126"/>
      <c r="I180" s="123">
        <f t="shared" si="72"/>
        <v>0.13333333333333333</v>
      </c>
      <c r="J180" s="163" t="e">
        <f t="shared" si="71"/>
        <v>#N/A</v>
      </c>
      <c r="L180" s="222"/>
    </row>
    <row r="181" spans="2:15" ht="15.75" customHeight="1">
      <c r="B181" s="207" t="str">
        <f>'Indicators,16-12-21'!B18</f>
        <v>D13</v>
      </c>
      <c r="C181" s="119" t="str">
        <f t="shared" si="69"/>
        <v>Load-bearing floors</v>
      </c>
      <c r="D181" s="124"/>
      <c r="E181" s="124"/>
      <c r="F181" s="120">
        <f t="shared" si="70"/>
        <v>1</v>
      </c>
      <c r="G181" s="125"/>
      <c r="H181" s="126"/>
      <c r="I181" s="123">
        <f t="shared" si="72"/>
        <v>0.13333333333333333</v>
      </c>
      <c r="J181" s="163" t="e">
        <f t="shared" si="71"/>
        <v>#N/A</v>
      </c>
      <c r="L181" s="222"/>
      <c r="M181" s="153"/>
    </row>
    <row r="182" spans="2:15" ht="15.75" customHeight="1">
      <c r="B182" s="207" t="str">
        <f>'Indicators,16-12-21'!B21</f>
        <v>A02</v>
      </c>
      <c r="C182" s="138" t="str">
        <f t="shared" ref="C182:C187" si="73">VLOOKUP(B182,$B$29:$C$36,2,FALSE)</f>
        <v>Utility function: possibility of dividing the area into units of the size indicated.</v>
      </c>
      <c r="D182" s="124"/>
      <c r="E182" s="124"/>
      <c r="F182" s="129">
        <f t="shared" ref="F182:F187" si="74">VLOOKUP(B182,$B$29:$J$36,9)</f>
        <v>1</v>
      </c>
      <c r="G182" s="125"/>
      <c r="H182" s="126"/>
      <c r="I182" s="123">
        <f>IF($O$20=1,0.25/(6*1+6*0.25),0)</f>
        <v>3.3333333333333333E-2</v>
      </c>
      <c r="J182" s="163" t="e">
        <f t="shared" si="71"/>
        <v>#N/A</v>
      </c>
      <c r="L182" s="222"/>
      <c r="M182" s="153"/>
    </row>
    <row r="183" spans="2:15" ht="15.75" customHeight="1">
      <c r="B183" s="207" t="str">
        <f>'Indicators,16-12-21'!B23</f>
        <v>A04</v>
      </c>
      <c r="C183" s="138" t="str">
        <f t="shared" si="73"/>
        <v>Utility function: openable windows</v>
      </c>
      <c r="D183" s="124"/>
      <c r="E183" s="124"/>
      <c r="F183" s="129">
        <f t="shared" si="74"/>
        <v>1</v>
      </c>
      <c r="G183" s="125"/>
      <c r="H183" s="126"/>
      <c r="I183" s="123">
        <f t="shared" ref="I183:I187" si="75">IF($O$20=1,0.25/(6*1+6*0.25),0)</f>
        <v>3.3333333333333333E-2</v>
      </c>
      <c r="J183" s="163" t="e">
        <f t="shared" si="71"/>
        <v>#N/A</v>
      </c>
      <c r="L183" s="222"/>
      <c r="M183" s="153"/>
    </row>
    <row r="184" spans="2:15" ht="15.75" customHeight="1">
      <c r="B184" s="208" t="str">
        <f>'Indicators,16-12-21'!B24</f>
        <v>A05</v>
      </c>
      <c r="C184" s="138" t="str">
        <f t="shared" si="73"/>
        <v>Demountable façade</v>
      </c>
      <c r="D184" s="133"/>
      <c r="E184" s="128"/>
      <c r="F184" s="129">
        <f t="shared" si="74"/>
        <v>1</v>
      </c>
      <c r="G184" s="134"/>
      <c r="H184" s="135"/>
      <c r="I184" s="123">
        <f t="shared" si="75"/>
        <v>3.3333333333333333E-2</v>
      </c>
      <c r="J184" s="163" t="e">
        <f t="shared" si="71"/>
        <v>#N/A</v>
      </c>
      <c r="L184" s="222"/>
      <c r="M184" s="153"/>
    </row>
    <row r="185" spans="2:15" ht="15.75" customHeight="1">
      <c r="B185" s="207" t="str">
        <f>'Indicators,16-12-21'!B25</f>
        <v>A06</v>
      </c>
      <c r="C185" s="138" t="str">
        <f t="shared" si="73"/>
        <v xml:space="preserve">Façade (components) adaptability
</v>
      </c>
      <c r="D185" s="124"/>
      <c r="E185" s="124"/>
      <c r="F185" s="129">
        <f t="shared" si="74"/>
        <v>1</v>
      </c>
      <c r="G185" s="125"/>
      <c r="H185" s="126"/>
      <c r="I185" s="123">
        <f t="shared" si="75"/>
        <v>3.3333333333333333E-2</v>
      </c>
      <c r="J185" s="163" t="e">
        <f>F185*$G$162*$H$174*I185</f>
        <v>#N/A</v>
      </c>
      <c r="L185" s="222"/>
      <c r="M185" s="153"/>
    </row>
    <row r="186" spans="2:15" ht="15.75" customHeight="1" collapsed="1">
      <c r="B186" s="207" t="str">
        <f>'Indicators,16-12-21'!B26</f>
        <v>A07</v>
      </c>
      <c r="C186" s="138" t="str">
        <f t="shared" si="73"/>
        <v>Possibility of balconies on the façade</v>
      </c>
      <c r="D186" s="124"/>
      <c r="E186" s="124"/>
      <c r="F186" s="129">
        <f t="shared" si="74"/>
        <v>1</v>
      </c>
      <c r="G186" s="125"/>
      <c r="H186" s="126"/>
      <c r="I186" s="123">
        <f t="shared" si="75"/>
        <v>3.3333333333333333E-2</v>
      </c>
      <c r="J186" s="163" t="e">
        <f t="shared" si="71"/>
        <v>#N/A</v>
      </c>
      <c r="L186" s="222"/>
      <c r="M186" s="153"/>
      <c r="N186" s="213"/>
      <c r="O186" s="213"/>
    </row>
    <row r="187" spans="2:15" ht="15.75" customHeight="1" thickBot="1">
      <c r="B187" s="208" t="str">
        <f>'Indicators,16-12-21'!B27</f>
        <v>A08</v>
      </c>
      <c r="C187" s="133" t="str">
        <f t="shared" si="73"/>
        <v>Vertical expansion: accessibility</v>
      </c>
      <c r="D187" s="133"/>
      <c r="E187" s="128"/>
      <c r="F187" s="129">
        <f t="shared" si="74"/>
        <v>1</v>
      </c>
      <c r="G187" s="134"/>
      <c r="H187" s="135"/>
      <c r="I187" s="144">
        <f t="shared" si="75"/>
        <v>3.3333333333333333E-2</v>
      </c>
      <c r="J187" s="163" t="e">
        <f t="shared" si="71"/>
        <v>#N/A</v>
      </c>
      <c r="L187" s="222"/>
    </row>
    <row r="188" spans="2:15" ht="15.75" customHeight="1">
      <c r="B188" s="210"/>
      <c r="C188" s="145"/>
      <c r="D188" s="145"/>
      <c r="E188" s="145"/>
      <c r="F188" s="146"/>
      <c r="G188" s="8"/>
      <c r="H188" s="8"/>
      <c r="I188" s="8"/>
      <c r="J188" s="147"/>
      <c r="L188" s="222"/>
    </row>
    <row r="189" spans="2:15" ht="15.75" customHeight="1">
      <c r="L189" s="222"/>
    </row>
  </sheetData>
  <sheetProtection algorithmName="SHA-512" hashValue="54G9hSNJp5GMWENsRC5s7nZOKW0aLCKUR10qxPOqnI//wgLC4VwIbb9zBTbOsfFLsrOrodFq3xbIZ82QxF6Q+Q==" saltValue="JYGi/lNDsm9Z71mX9WbGIg==" spinCount="100000" sheet="1" objects="1" scenarios="1"/>
  <sortState xmlns:xlrd2="http://schemas.microsoft.com/office/spreadsheetml/2017/richdata2" ref="B29:J36">
    <sortCondition ref="B29:B36"/>
  </sortState>
  <mergeCells count="13">
    <mergeCell ref="H2:J2"/>
    <mergeCell ref="B2:G2"/>
    <mergeCell ref="G112:I112"/>
    <mergeCell ref="L22:M22"/>
    <mergeCell ref="G45:I45"/>
    <mergeCell ref="B3:J3"/>
    <mergeCell ref="B8:J8"/>
    <mergeCell ref="B37:I37"/>
    <mergeCell ref="G40:I40"/>
    <mergeCell ref="G42:I42"/>
    <mergeCell ref="G43:I43"/>
    <mergeCell ref="L20:M20"/>
    <mergeCell ref="L21:M21"/>
  </mergeCells>
  <conditionalFormatting sqref="F29:I36">
    <cfRule type="expression" dxfId="8" priority="13">
      <formula>$L$22=1</formula>
    </cfRule>
  </conditionalFormatting>
  <conditionalFormatting sqref="F27">
    <cfRule type="expression" dxfId="7" priority="12">
      <formula>$F$27="x"</formula>
    </cfRule>
  </conditionalFormatting>
  <conditionalFormatting sqref="F28">
    <cfRule type="expression" dxfId="6" priority="11">
      <formula>$F$28="x"</formula>
    </cfRule>
  </conditionalFormatting>
  <conditionalFormatting sqref="B29:C36 E30:J36 F29:J29 F29:I36">
    <cfRule type="expression" dxfId="5" priority="15">
      <formula>$L$22=1</formula>
    </cfRule>
  </conditionalFormatting>
  <conditionalFormatting sqref="D29:D36">
    <cfRule type="expression" dxfId="4" priority="9">
      <formula>$L$22=1</formula>
    </cfRule>
  </conditionalFormatting>
  <conditionalFormatting sqref="J113">
    <cfRule type="expression" dxfId="3" priority="16">
      <formula>$F$27="x"</formula>
    </cfRule>
  </conditionalFormatting>
  <conditionalFormatting sqref="J67 J80 J138 J153">
    <cfRule type="expression" dxfId="2" priority="17">
      <formula>$F$28="x"</formula>
    </cfRule>
  </conditionalFormatting>
  <conditionalFormatting sqref="F29:I32">
    <cfRule type="expression" dxfId="1" priority="1">
      <formula>$O$20=0</formula>
    </cfRule>
  </conditionalFormatting>
  <dataValidations count="7">
    <dataValidation type="list" allowBlank="1" showInputMessage="1" showErrorMessage="1" sqref="D5" xr:uid="{B2240DEC-4FC7-42B8-887F-7B5829666AC7}">
      <formula1>$L$16:$L$17</formula1>
    </dataValidation>
    <dataValidation type="list" allowBlank="1" showInputMessage="1" showErrorMessage="1" sqref="D9" xr:uid="{5632B315-E419-4CF1-887C-7E38D048765A}">
      <formula1>$L$20:$L$21</formula1>
    </dataValidation>
    <dataValidation type="custom" allowBlank="1" showInputMessage="1" showErrorMessage="1" error="Geef de juiste prestatie aan met x, laat het veld anders leeg!" sqref="F27:I28" xr:uid="{621CBA7B-EF00-4CEC-AC3E-988CFFF74F9F}">
      <formula1>F27="x"</formula1>
    </dataValidation>
    <dataValidation type="custom" allowBlank="1" showInputMessage="1" showErrorMessage="1" error="Geef bij elke indicator één prestatie aan, niet meer en niet minder. Gebruik hiervoor een x." sqref="F29:I36 F11:I26" xr:uid="{5C0BAF99-D816-4121-A580-F6DD4CAC3867}">
      <formula1>AND(F11="x",COUNTA($F11:$I11)=1)</formula1>
    </dataValidation>
    <dataValidation type="list" allowBlank="1" showInputMessage="1" showErrorMessage="1" sqref="D4" xr:uid="{B7BDBA7C-A88A-48F6-8C61-0CC4EF6BB942}">
      <formula1>$L$10:$L$13</formula1>
    </dataValidation>
    <dataValidation type="custom" allowBlank="1" showInputMessage="1" showErrorMessage="1" error="alleen x is mogelijk" prompt="Geef de best passende prestatie aan met een x" sqref="J11:J28" xr:uid="{0DFACC15-9852-4EEE-BD79-79A4BC68F23D}">
      <formula1>J11="x"</formula1>
    </dataValidation>
    <dataValidation type="custom" allowBlank="1" showInputMessage="1" showErrorMessage="1" error="Maar 1 keuze is mogelijk!" sqref="E11:E36" xr:uid="{E92B4181-0EB3-48FB-B795-8431A82F9046}">
      <formula1>E11&gt;1</formula1>
    </dataValidation>
  </dataValidations>
  <pageMargins left="0.7" right="0.7" top="0.75" bottom="0.75" header="0.3" footer="0.3"/>
  <pageSetup paperSize="9" orientation="portrait" horizontalDpi="4294967293" verticalDpi="0" r:id="rId1"/>
  <ignoredErrors>
    <ignoredError sqref="L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A186-9226-45AA-9F6B-3A0EEC36211E}">
  <dimension ref="B1:AI26"/>
  <sheetViews>
    <sheetView showGridLines="0" showRowColHeaders="0" workbookViewId="0">
      <selection activeCell="I10" sqref="I10"/>
    </sheetView>
  </sheetViews>
  <sheetFormatPr defaultColWidth="9.140625" defaultRowHeight="20.25" customHeight="1"/>
  <cols>
    <col min="1" max="1" width="2.140625" style="3" customWidth="1"/>
    <col min="2" max="2" width="24.85546875" style="5" customWidth="1"/>
    <col min="3" max="10" width="7.28515625" style="6" customWidth="1"/>
    <col min="11" max="11" width="1.85546875" style="6" customWidth="1"/>
    <col min="12" max="19" width="7.28515625" style="6" customWidth="1"/>
    <col min="20" max="20" width="2" style="6" customWidth="1"/>
    <col min="21" max="28" width="7.28515625" style="6" customWidth="1"/>
    <col min="29" max="29" width="1.85546875" style="6" customWidth="1"/>
    <col min="30" max="30" width="8.28515625" style="6" bestFit="1" customWidth="1"/>
    <col min="31" max="31" width="9.140625" style="3"/>
    <col min="32" max="35" width="9.140625" style="4"/>
    <col min="36" max="16384" width="9.140625" style="3"/>
  </cols>
  <sheetData>
    <row r="1" spans="2:35" ht="9" customHeight="1" thickBot="1"/>
    <row r="2" spans="2:35" ht="20.25" customHeight="1">
      <c r="B2" s="9" t="s">
        <v>69</v>
      </c>
      <c r="C2" s="348" t="s">
        <v>70</v>
      </c>
      <c r="D2" s="348"/>
      <c r="E2" s="348"/>
      <c r="F2" s="348"/>
      <c r="G2" s="348"/>
      <c r="H2" s="348"/>
      <c r="I2" s="348"/>
      <c r="J2" s="348"/>
      <c r="K2" s="10"/>
      <c r="L2" s="348" t="s">
        <v>71</v>
      </c>
      <c r="M2" s="348"/>
      <c r="N2" s="348"/>
      <c r="O2" s="348"/>
      <c r="P2" s="348"/>
      <c r="Q2" s="348"/>
      <c r="R2" s="348"/>
      <c r="S2" s="348"/>
      <c r="T2" s="10"/>
      <c r="U2" s="348" t="s">
        <v>72</v>
      </c>
      <c r="V2" s="348"/>
      <c r="W2" s="348"/>
      <c r="X2" s="348"/>
      <c r="Y2" s="348"/>
      <c r="Z2" s="348"/>
      <c r="AA2" s="348"/>
      <c r="AB2" s="348"/>
      <c r="AC2" s="11"/>
      <c r="AD2" s="2" t="s">
        <v>73</v>
      </c>
    </row>
    <row r="3" spans="2:35" ht="20.25" customHeight="1">
      <c r="B3" s="12" t="s">
        <v>74</v>
      </c>
      <c r="C3" s="189" t="str">
        <f>'Calculation sheet, 23-05-22'!$P$11</f>
        <v>1.WO-BI</v>
      </c>
      <c r="D3" s="189" t="str">
        <f>'Calculation sheet, 23-05-22'!$P$12</f>
        <v>2.WO-NB</v>
      </c>
      <c r="E3" s="189" t="str">
        <f>'Calculation sheet, 23-05-22'!$P$13</f>
        <v>3.KA-BI</v>
      </c>
      <c r="F3" s="189" t="str">
        <f>'Calculation sheet, 23-05-22'!$P$14</f>
        <v>4.KA-NB</v>
      </c>
      <c r="G3" s="189" t="str">
        <f>'Calculation sheet, 23-05-22'!$P$15</f>
        <v>5.WI-BI</v>
      </c>
      <c r="H3" s="189" t="str">
        <f>'Calculation sheet, 23-05-22'!$P$16</f>
        <v>6.WI-NB</v>
      </c>
      <c r="I3" s="189" t="str">
        <f>'Calculation sheet, 23-05-22'!$P$17</f>
        <v>7.UO-BI</v>
      </c>
      <c r="J3" s="189" t="str">
        <f>'Calculation sheet, 23-05-22'!$P$18</f>
        <v>8.UO-NB</v>
      </c>
      <c r="K3" s="189"/>
      <c r="L3" s="189" t="str">
        <f>'Calculation sheet, 23-05-22'!$P$11</f>
        <v>1.WO-BI</v>
      </c>
      <c r="M3" s="189" t="str">
        <f>'Calculation sheet, 23-05-22'!$P$12</f>
        <v>2.WO-NB</v>
      </c>
      <c r="N3" s="189" t="str">
        <f>'Calculation sheet, 23-05-22'!$P$13</f>
        <v>3.KA-BI</v>
      </c>
      <c r="O3" s="189" t="str">
        <f>'Calculation sheet, 23-05-22'!$P$14</f>
        <v>4.KA-NB</v>
      </c>
      <c r="P3" s="189" t="str">
        <f>'Calculation sheet, 23-05-22'!$P$15</f>
        <v>5.WI-BI</v>
      </c>
      <c r="Q3" s="189" t="str">
        <f>'Calculation sheet, 23-05-22'!$P$16</f>
        <v>6.WI-NB</v>
      </c>
      <c r="R3" s="189" t="str">
        <f>'Calculation sheet, 23-05-22'!$P$17</f>
        <v>7.UO-BI</v>
      </c>
      <c r="S3" s="189" t="str">
        <f>'Calculation sheet, 23-05-22'!$P$18</f>
        <v>8.UO-NB</v>
      </c>
      <c r="T3" s="189"/>
      <c r="U3" s="189" t="str">
        <f>'Calculation sheet, 23-05-22'!$P$11</f>
        <v>1.WO-BI</v>
      </c>
      <c r="V3" s="189" t="str">
        <f>'Calculation sheet, 23-05-22'!$P$12</f>
        <v>2.WO-NB</v>
      </c>
      <c r="W3" s="189" t="str">
        <f>'Calculation sheet, 23-05-22'!$P$13</f>
        <v>3.KA-BI</v>
      </c>
      <c r="X3" s="189" t="str">
        <f>'Calculation sheet, 23-05-22'!$P$14</f>
        <v>4.KA-NB</v>
      </c>
      <c r="Y3" s="189" t="str">
        <f>'Calculation sheet, 23-05-22'!$P$15</f>
        <v>5.WI-BI</v>
      </c>
      <c r="Z3" s="189" t="str">
        <f>'Calculation sheet, 23-05-22'!$P$16</f>
        <v>6.WI-NB</v>
      </c>
      <c r="AA3" s="189" t="str">
        <f>'Calculation sheet, 23-05-22'!$P$17</f>
        <v>7.UO-BI</v>
      </c>
      <c r="AB3" s="189" t="str">
        <f>'Calculation sheet, 23-05-22'!$P$18</f>
        <v>8.UO-NB</v>
      </c>
      <c r="AC3" s="11"/>
      <c r="AD3" s="48" t="b">
        <f>'Calculation sheet, 23-05-22'!$D$6</f>
        <v>0</v>
      </c>
    </row>
    <row r="4" spans="2:35" s="19" customFormat="1" ht="20.25" customHeight="1">
      <c r="B4" s="31" t="s">
        <v>75</v>
      </c>
      <c r="C4" s="33">
        <v>0.7</v>
      </c>
      <c r="D4" s="34">
        <v>0.7</v>
      </c>
      <c r="E4" s="34">
        <v>0.5</v>
      </c>
      <c r="F4" s="34">
        <v>0.4</v>
      </c>
      <c r="G4" s="34">
        <v>0.8</v>
      </c>
      <c r="H4" s="34">
        <v>0.7</v>
      </c>
      <c r="I4" s="34">
        <v>0.6</v>
      </c>
      <c r="J4" s="35">
        <v>0.5</v>
      </c>
      <c r="K4" s="32"/>
      <c r="L4" s="25"/>
      <c r="M4" s="25"/>
      <c r="N4" s="25"/>
      <c r="O4" s="25"/>
      <c r="P4" s="25"/>
      <c r="Q4" s="25"/>
      <c r="R4" s="25"/>
      <c r="S4" s="25"/>
      <c r="T4" s="25"/>
      <c r="U4" s="25"/>
      <c r="V4" s="25"/>
      <c r="W4" s="25"/>
      <c r="X4" s="25"/>
      <c r="Y4" s="25"/>
      <c r="Z4" s="25"/>
      <c r="AA4" s="25"/>
      <c r="AB4" s="25"/>
      <c r="AC4" s="17"/>
      <c r="AD4" s="18" t="e">
        <f>HLOOKUP($AD$3,$C$3:$J$25,2)</f>
        <v>#N/A</v>
      </c>
      <c r="AF4" s="20"/>
      <c r="AG4" s="20"/>
      <c r="AH4" s="20"/>
      <c r="AI4" s="20"/>
    </row>
    <row r="5" spans="2:35" s="19" customFormat="1" ht="20.25" customHeight="1">
      <c r="B5" s="26" t="s">
        <v>59</v>
      </c>
      <c r="C5" s="27"/>
      <c r="D5" s="27"/>
      <c r="E5" s="27"/>
      <c r="F5" s="27"/>
      <c r="G5" s="27"/>
      <c r="H5" s="27"/>
      <c r="I5" s="27"/>
      <c r="J5" s="27"/>
      <c r="K5" s="36"/>
      <c r="L5" s="33">
        <v>0.3</v>
      </c>
      <c r="M5" s="34">
        <v>0.3</v>
      </c>
      <c r="N5" s="34">
        <v>0.3</v>
      </c>
      <c r="O5" s="34">
        <v>0.3</v>
      </c>
      <c r="P5" s="34">
        <v>0.3</v>
      </c>
      <c r="Q5" s="34">
        <v>0.3</v>
      </c>
      <c r="R5" s="34">
        <v>0.3</v>
      </c>
      <c r="S5" s="35">
        <v>0.3</v>
      </c>
      <c r="T5" s="37"/>
      <c r="U5" s="27"/>
      <c r="V5" s="27"/>
      <c r="W5" s="27"/>
      <c r="X5" s="27"/>
      <c r="Y5" s="27"/>
      <c r="Z5" s="27"/>
      <c r="AA5" s="27"/>
      <c r="AB5" s="27"/>
      <c r="AC5" s="21"/>
      <c r="AD5" s="22" t="e">
        <f>HLOOKUP($AD$3,$L$3:$S$25,3)</f>
        <v>#N/A</v>
      </c>
      <c r="AF5" s="20"/>
      <c r="AG5" s="20"/>
      <c r="AH5" s="20"/>
      <c r="AI5" s="20"/>
    </row>
    <row r="6" spans="2:35" s="19" customFormat="1" ht="20.25" customHeight="1">
      <c r="B6" s="28" t="s">
        <v>60</v>
      </c>
      <c r="C6" s="29"/>
      <c r="D6" s="29"/>
      <c r="E6" s="29"/>
      <c r="F6" s="29"/>
      <c r="G6" s="29"/>
      <c r="H6" s="29"/>
      <c r="I6" s="29"/>
      <c r="J6" s="29"/>
      <c r="K6" s="29"/>
      <c r="L6" s="29"/>
      <c r="M6" s="29"/>
      <c r="N6" s="29"/>
      <c r="O6" s="29"/>
      <c r="P6" s="29"/>
      <c r="Q6" s="29"/>
      <c r="R6" s="29"/>
      <c r="S6" s="29"/>
      <c r="T6" s="38"/>
      <c r="U6" s="33">
        <v>0.5</v>
      </c>
      <c r="V6" s="34">
        <v>0.5</v>
      </c>
      <c r="W6" s="34">
        <v>0.5</v>
      </c>
      <c r="X6" s="34">
        <v>0.5</v>
      </c>
      <c r="Y6" s="34">
        <v>0.5</v>
      </c>
      <c r="Z6" s="34">
        <v>0.5</v>
      </c>
      <c r="AA6" s="34">
        <v>0.5</v>
      </c>
      <c r="AB6" s="35">
        <v>0.5</v>
      </c>
      <c r="AC6" s="23"/>
      <c r="AD6" s="24" t="e">
        <f>HLOOKUP($AD$3,$U$3:$AB$25,4)</f>
        <v>#N/A</v>
      </c>
      <c r="AF6" s="20"/>
      <c r="AG6" s="20"/>
      <c r="AH6" s="20"/>
      <c r="AI6" s="20"/>
    </row>
    <row r="7" spans="2:35" s="19" customFormat="1" ht="20.25" customHeight="1">
      <c r="B7" s="28" t="s">
        <v>61</v>
      </c>
      <c r="C7" s="29"/>
      <c r="D7" s="29"/>
      <c r="E7" s="29"/>
      <c r="F7" s="29"/>
      <c r="G7" s="29"/>
      <c r="H7" s="29"/>
      <c r="I7" s="29"/>
      <c r="J7" s="29"/>
      <c r="K7" s="29"/>
      <c r="L7" s="29"/>
      <c r="M7" s="29"/>
      <c r="N7" s="29"/>
      <c r="O7" s="29"/>
      <c r="P7" s="29"/>
      <c r="Q7" s="29"/>
      <c r="R7" s="29"/>
      <c r="S7" s="29"/>
      <c r="T7" s="38"/>
      <c r="U7" s="33">
        <v>0.5</v>
      </c>
      <c r="V7" s="34">
        <v>0.5</v>
      </c>
      <c r="W7" s="34">
        <v>0.5</v>
      </c>
      <c r="X7" s="34">
        <v>0.5</v>
      </c>
      <c r="Y7" s="34">
        <v>0.5</v>
      </c>
      <c r="Z7" s="34">
        <v>0.5</v>
      </c>
      <c r="AA7" s="34">
        <v>0.5</v>
      </c>
      <c r="AB7" s="35">
        <v>0.5</v>
      </c>
      <c r="AC7" s="23"/>
      <c r="AD7" s="24" t="e">
        <f>HLOOKUP($AD$3,$U$3:$AB$25,5)</f>
        <v>#N/A</v>
      </c>
      <c r="AF7" s="20"/>
      <c r="AG7" s="20"/>
      <c r="AH7" s="20"/>
      <c r="AI7" s="20"/>
    </row>
    <row r="8" spans="2:35" s="19" customFormat="1" ht="20.25" customHeight="1">
      <c r="B8" s="28" t="s">
        <v>62</v>
      </c>
      <c r="C8" s="29"/>
      <c r="D8" s="29"/>
      <c r="E8" s="29"/>
      <c r="F8" s="29"/>
      <c r="G8" s="29"/>
      <c r="H8" s="29"/>
      <c r="I8" s="29"/>
      <c r="J8" s="29"/>
      <c r="K8" s="29"/>
      <c r="L8" s="29"/>
      <c r="M8" s="29"/>
      <c r="N8" s="29"/>
      <c r="O8" s="29"/>
      <c r="P8" s="29"/>
      <c r="Q8" s="29"/>
      <c r="R8" s="29"/>
      <c r="S8" s="29"/>
      <c r="T8" s="38"/>
      <c r="U8" s="39">
        <f t="shared" ref="U8:AB8" si="0">1-(U6+U7)</f>
        <v>0</v>
      </c>
      <c r="V8" s="40">
        <f t="shared" si="0"/>
        <v>0</v>
      </c>
      <c r="W8" s="40">
        <f t="shared" si="0"/>
        <v>0</v>
      </c>
      <c r="X8" s="40">
        <f t="shared" si="0"/>
        <v>0</v>
      </c>
      <c r="Y8" s="40">
        <f t="shared" ref="Y8:Z8" si="1">1-(Y6+Y7)</f>
        <v>0</v>
      </c>
      <c r="Z8" s="40">
        <f t="shared" si="1"/>
        <v>0</v>
      </c>
      <c r="AA8" s="40">
        <f t="shared" si="0"/>
        <v>0</v>
      </c>
      <c r="AB8" s="41">
        <f t="shared" si="0"/>
        <v>0</v>
      </c>
      <c r="AC8" s="23"/>
      <c r="AD8" s="24" t="e">
        <f>HLOOKUP($AD$3,$U$3:$AB$25,6)</f>
        <v>#N/A</v>
      </c>
      <c r="AF8" s="20"/>
      <c r="AG8" s="20"/>
      <c r="AH8" s="20"/>
      <c r="AI8" s="20"/>
    </row>
    <row r="9" spans="2:35" s="19" customFormat="1" ht="20.25" customHeight="1">
      <c r="B9" s="26" t="s">
        <v>63</v>
      </c>
      <c r="C9" s="27"/>
      <c r="D9" s="27"/>
      <c r="E9" s="27"/>
      <c r="F9" s="27"/>
      <c r="G9" s="27"/>
      <c r="H9" s="27"/>
      <c r="I9" s="27"/>
      <c r="J9" s="27"/>
      <c r="K9" s="36"/>
      <c r="L9" s="33">
        <v>0.3</v>
      </c>
      <c r="M9" s="34">
        <v>0.3</v>
      </c>
      <c r="N9" s="34">
        <v>0.3</v>
      </c>
      <c r="O9" s="34">
        <v>0.3</v>
      </c>
      <c r="P9" s="34">
        <v>0.3</v>
      </c>
      <c r="Q9" s="34">
        <v>0.3</v>
      </c>
      <c r="R9" s="34">
        <v>0.3</v>
      </c>
      <c r="S9" s="35">
        <v>0.3</v>
      </c>
      <c r="T9" s="37"/>
      <c r="U9" s="27"/>
      <c r="V9" s="27"/>
      <c r="W9" s="27"/>
      <c r="X9" s="27"/>
      <c r="Y9" s="27"/>
      <c r="Z9" s="27"/>
      <c r="AA9" s="27"/>
      <c r="AB9" s="27"/>
      <c r="AC9" s="21"/>
      <c r="AD9" s="22" t="e">
        <f>HLOOKUP($AD$3,$L$3:$S$25,7)</f>
        <v>#N/A</v>
      </c>
      <c r="AF9" s="20"/>
      <c r="AG9" s="20"/>
      <c r="AH9" s="20"/>
      <c r="AI9" s="20"/>
    </row>
    <row r="10" spans="2:35" s="19" customFormat="1" ht="20.25" customHeight="1">
      <c r="B10" s="28" t="s">
        <v>64</v>
      </c>
      <c r="C10" s="29"/>
      <c r="D10" s="29"/>
      <c r="E10" s="29"/>
      <c r="F10" s="29"/>
      <c r="G10" s="29"/>
      <c r="H10" s="29"/>
      <c r="I10" s="29"/>
      <c r="J10" s="29"/>
      <c r="K10" s="29"/>
      <c r="L10" s="29"/>
      <c r="M10" s="29"/>
      <c r="N10" s="29"/>
      <c r="O10" s="29"/>
      <c r="P10" s="29"/>
      <c r="Q10" s="29"/>
      <c r="R10" s="29"/>
      <c r="S10" s="29"/>
      <c r="T10" s="38"/>
      <c r="U10" s="33">
        <v>0.3</v>
      </c>
      <c r="V10" s="34">
        <v>0.3</v>
      </c>
      <c r="W10" s="34">
        <v>0.3</v>
      </c>
      <c r="X10" s="34">
        <v>0.3</v>
      </c>
      <c r="Y10" s="34">
        <v>0.3</v>
      </c>
      <c r="Z10" s="34">
        <v>0.3</v>
      </c>
      <c r="AA10" s="34">
        <v>0.3</v>
      </c>
      <c r="AB10" s="35">
        <v>0.3</v>
      </c>
      <c r="AC10" s="23"/>
      <c r="AD10" s="24" t="e">
        <f>HLOOKUP($AD$3,$U$3:$AB$25,8)</f>
        <v>#N/A</v>
      </c>
      <c r="AF10" s="20"/>
      <c r="AG10" s="20"/>
      <c r="AH10" s="20"/>
      <c r="AI10" s="20"/>
    </row>
    <row r="11" spans="2:35" s="19" customFormat="1" ht="20.25" customHeight="1">
      <c r="B11" s="28" t="s">
        <v>65</v>
      </c>
      <c r="C11" s="29"/>
      <c r="D11" s="29"/>
      <c r="E11" s="29"/>
      <c r="F11" s="29"/>
      <c r="G11" s="29"/>
      <c r="H11" s="29"/>
      <c r="I11" s="29"/>
      <c r="J11" s="29"/>
      <c r="K11" s="29"/>
      <c r="L11" s="29"/>
      <c r="M11" s="29"/>
      <c r="N11" s="29"/>
      <c r="O11" s="29"/>
      <c r="P11" s="29"/>
      <c r="Q11" s="29"/>
      <c r="R11" s="29"/>
      <c r="S11" s="29"/>
      <c r="T11" s="38"/>
      <c r="U11" s="39">
        <f t="shared" ref="U11:AB11" si="2">1-U10</f>
        <v>0.7</v>
      </c>
      <c r="V11" s="40">
        <f t="shared" si="2"/>
        <v>0.7</v>
      </c>
      <c r="W11" s="40">
        <f t="shared" si="2"/>
        <v>0.7</v>
      </c>
      <c r="X11" s="40">
        <f t="shared" si="2"/>
        <v>0.7</v>
      </c>
      <c r="Y11" s="40">
        <f t="shared" ref="Y11:Z11" si="3">1-Y10</f>
        <v>0.7</v>
      </c>
      <c r="Z11" s="40">
        <f t="shared" si="3"/>
        <v>0.7</v>
      </c>
      <c r="AA11" s="40">
        <f t="shared" si="2"/>
        <v>0.7</v>
      </c>
      <c r="AB11" s="41">
        <f t="shared" si="2"/>
        <v>0.7</v>
      </c>
      <c r="AC11" s="23"/>
      <c r="AD11" s="24" t="e">
        <f>HLOOKUP($AD$3,$U$3:$AB$25,9)</f>
        <v>#N/A</v>
      </c>
      <c r="AF11" s="20"/>
      <c r="AG11" s="20"/>
      <c r="AH11" s="20"/>
      <c r="AI11" s="20"/>
    </row>
    <row r="12" spans="2:35" s="19" customFormat="1" ht="20.25" customHeight="1">
      <c r="B12" s="26" t="s">
        <v>66</v>
      </c>
      <c r="C12" s="27"/>
      <c r="D12" s="27"/>
      <c r="E12" s="27"/>
      <c r="F12" s="27"/>
      <c r="G12" s="27"/>
      <c r="H12" s="27"/>
      <c r="I12" s="27"/>
      <c r="J12" s="27"/>
      <c r="K12" s="36"/>
      <c r="L12" s="49">
        <f>1-(L5+L9)</f>
        <v>0.4</v>
      </c>
      <c r="M12" s="50">
        <f t="shared" ref="M12:S12" si="4">1-(M5+M9)</f>
        <v>0.4</v>
      </c>
      <c r="N12" s="50">
        <f t="shared" si="4"/>
        <v>0.4</v>
      </c>
      <c r="O12" s="50">
        <f t="shared" si="4"/>
        <v>0.4</v>
      </c>
      <c r="P12" s="50">
        <f t="shared" ref="P12:Q12" si="5">1-(P5+P9)</f>
        <v>0.4</v>
      </c>
      <c r="Q12" s="50">
        <f t="shared" si="5"/>
        <v>0.4</v>
      </c>
      <c r="R12" s="50">
        <f t="shared" si="4"/>
        <v>0.4</v>
      </c>
      <c r="S12" s="51">
        <f t="shared" si="4"/>
        <v>0.4</v>
      </c>
      <c r="T12" s="37"/>
      <c r="U12" s="27"/>
      <c r="V12" s="27"/>
      <c r="W12" s="27"/>
      <c r="X12" s="27"/>
      <c r="Y12" s="27"/>
      <c r="Z12" s="27"/>
      <c r="AA12" s="27"/>
      <c r="AB12" s="27"/>
      <c r="AC12" s="21"/>
      <c r="AD12" s="22" t="e">
        <f>HLOOKUP($AD$3,$L$3:$S$25,10)</f>
        <v>#N/A</v>
      </c>
      <c r="AF12" s="20"/>
      <c r="AG12" s="20"/>
      <c r="AH12" s="20"/>
      <c r="AI12" s="20"/>
    </row>
    <row r="13" spans="2:35" s="19" customFormat="1" ht="20.25" customHeight="1">
      <c r="B13" s="28" t="s">
        <v>67</v>
      </c>
      <c r="C13" s="29"/>
      <c r="D13" s="29"/>
      <c r="E13" s="29"/>
      <c r="F13" s="29"/>
      <c r="G13" s="29"/>
      <c r="H13" s="29"/>
      <c r="I13" s="29"/>
      <c r="J13" s="29"/>
      <c r="K13" s="29"/>
      <c r="L13" s="29"/>
      <c r="M13" s="29"/>
      <c r="N13" s="29"/>
      <c r="O13" s="29"/>
      <c r="P13" s="29"/>
      <c r="Q13" s="29"/>
      <c r="R13" s="29"/>
      <c r="S13" s="29"/>
      <c r="T13" s="38"/>
      <c r="U13" s="33">
        <v>0.5</v>
      </c>
      <c r="V13" s="34">
        <v>0.5</v>
      </c>
      <c r="W13" s="34">
        <v>0.5</v>
      </c>
      <c r="X13" s="34">
        <v>0.5</v>
      </c>
      <c r="Y13" s="34">
        <v>0.5</v>
      </c>
      <c r="Z13" s="34">
        <v>0.5</v>
      </c>
      <c r="AA13" s="34">
        <v>0.5</v>
      </c>
      <c r="AB13" s="35">
        <v>0.5</v>
      </c>
      <c r="AC13" s="23"/>
      <c r="AD13" s="24" t="e">
        <f>HLOOKUP($AD$3,$U$3:$AB$25,11)</f>
        <v>#N/A</v>
      </c>
      <c r="AF13" s="20"/>
      <c r="AG13" s="20"/>
      <c r="AH13" s="20"/>
      <c r="AI13" s="20"/>
    </row>
    <row r="14" spans="2:35" s="19" customFormat="1" ht="20.25" customHeight="1">
      <c r="B14" s="28" t="s">
        <v>68</v>
      </c>
      <c r="C14" s="29"/>
      <c r="D14" s="29"/>
      <c r="E14" s="29"/>
      <c r="F14" s="29"/>
      <c r="G14" s="29"/>
      <c r="H14" s="29"/>
      <c r="I14" s="29"/>
      <c r="J14" s="29"/>
      <c r="K14" s="29"/>
      <c r="L14" s="29"/>
      <c r="M14" s="29"/>
      <c r="N14" s="29"/>
      <c r="O14" s="29"/>
      <c r="P14" s="29"/>
      <c r="Q14" s="29"/>
      <c r="R14" s="29"/>
      <c r="S14" s="29"/>
      <c r="T14" s="38"/>
      <c r="U14" s="39">
        <f>1-U13</f>
        <v>0.5</v>
      </c>
      <c r="V14" s="40">
        <f t="shared" ref="V14:AB14" si="6">1-V13</f>
        <v>0.5</v>
      </c>
      <c r="W14" s="40">
        <f t="shared" si="6"/>
        <v>0.5</v>
      </c>
      <c r="X14" s="40">
        <f t="shared" si="6"/>
        <v>0.5</v>
      </c>
      <c r="Y14" s="40">
        <f t="shared" ref="Y14:Z14" si="7">1-Y13</f>
        <v>0.5</v>
      </c>
      <c r="Z14" s="40">
        <f t="shared" si="7"/>
        <v>0.5</v>
      </c>
      <c r="AA14" s="40">
        <f t="shared" si="6"/>
        <v>0.5</v>
      </c>
      <c r="AB14" s="41">
        <f t="shared" si="6"/>
        <v>0.5</v>
      </c>
      <c r="AC14" s="23"/>
      <c r="AD14" s="24" t="e">
        <f>HLOOKUP($AD$3,$U$3:$AB$25,12)</f>
        <v>#N/A</v>
      </c>
      <c r="AF14" s="20"/>
      <c r="AG14" s="20"/>
      <c r="AH14" s="20"/>
      <c r="AI14" s="20"/>
    </row>
    <row r="15" spans="2:35" ht="20.25" customHeight="1">
      <c r="B15" s="42" t="s">
        <v>76</v>
      </c>
      <c r="C15" s="44">
        <f t="shared" ref="C15:J15" si="8">1-C4</f>
        <v>0.30000000000000004</v>
      </c>
      <c r="D15" s="45">
        <f t="shared" si="8"/>
        <v>0.30000000000000004</v>
      </c>
      <c r="E15" s="45">
        <f t="shared" si="8"/>
        <v>0.5</v>
      </c>
      <c r="F15" s="45">
        <f t="shared" si="8"/>
        <v>0.6</v>
      </c>
      <c r="G15" s="45">
        <f t="shared" ref="G15:H15" si="9">1-G4</f>
        <v>0.19999999999999996</v>
      </c>
      <c r="H15" s="45">
        <f t="shared" si="9"/>
        <v>0.30000000000000004</v>
      </c>
      <c r="I15" s="45">
        <f t="shared" si="8"/>
        <v>0.4</v>
      </c>
      <c r="J15" s="46">
        <f t="shared" si="8"/>
        <v>0.5</v>
      </c>
      <c r="K15" s="43"/>
      <c r="L15" s="30"/>
      <c r="M15" s="30"/>
      <c r="N15" s="30"/>
      <c r="O15" s="30"/>
      <c r="P15" s="30"/>
      <c r="Q15" s="30"/>
      <c r="R15" s="30"/>
      <c r="S15" s="30"/>
      <c r="T15" s="30"/>
      <c r="U15" s="30"/>
      <c r="V15" s="30"/>
      <c r="W15" s="30"/>
      <c r="X15" s="30"/>
      <c r="Y15" s="30"/>
      <c r="Z15" s="30"/>
      <c r="AA15" s="30"/>
      <c r="AB15" s="30"/>
      <c r="AC15" s="13"/>
      <c r="AD15" s="14" t="e">
        <f>HLOOKUP($AD$3,$C$3:$J$25,13)</f>
        <v>#N/A</v>
      </c>
    </row>
    <row r="16" spans="2:35" s="19" customFormat="1" ht="20.25" customHeight="1">
      <c r="B16" s="26" t="s">
        <v>59</v>
      </c>
      <c r="C16" s="27"/>
      <c r="D16" s="27"/>
      <c r="E16" s="27"/>
      <c r="F16" s="27"/>
      <c r="G16" s="27"/>
      <c r="H16" s="27"/>
      <c r="I16" s="27"/>
      <c r="J16" s="27"/>
      <c r="K16" s="36"/>
      <c r="L16" s="33">
        <v>0.3</v>
      </c>
      <c r="M16" s="34">
        <v>0.3</v>
      </c>
      <c r="N16" s="34">
        <v>0.3</v>
      </c>
      <c r="O16" s="34">
        <v>0.3</v>
      </c>
      <c r="P16" s="34">
        <v>0.3</v>
      </c>
      <c r="Q16" s="34">
        <v>0.3</v>
      </c>
      <c r="R16" s="34">
        <v>0.3</v>
      </c>
      <c r="S16" s="35">
        <v>0.3</v>
      </c>
      <c r="T16" s="37"/>
      <c r="U16" s="27"/>
      <c r="V16" s="27"/>
      <c r="W16" s="27"/>
      <c r="X16" s="27"/>
      <c r="Y16" s="27"/>
      <c r="Z16" s="27"/>
      <c r="AA16" s="27"/>
      <c r="AB16" s="27"/>
      <c r="AC16" s="21"/>
      <c r="AD16" s="22" t="e">
        <f>HLOOKUP($AD$3,$L$3:$S$25,14)</f>
        <v>#N/A</v>
      </c>
      <c r="AF16" s="20"/>
      <c r="AG16" s="20"/>
      <c r="AH16" s="20"/>
      <c r="AI16" s="20"/>
    </row>
    <row r="17" spans="2:35" s="19" customFormat="1" ht="20.25" customHeight="1">
      <c r="B17" s="28" t="s">
        <v>60</v>
      </c>
      <c r="C17" s="29"/>
      <c r="D17" s="29"/>
      <c r="E17" s="29"/>
      <c r="F17" s="29"/>
      <c r="G17" s="29"/>
      <c r="H17" s="29"/>
      <c r="I17" s="29"/>
      <c r="J17" s="29"/>
      <c r="K17" s="29"/>
      <c r="L17" s="29"/>
      <c r="M17" s="29"/>
      <c r="N17" s="29"/>
      <c r="O17" s="29"/>
      <c r="P17" s="29"/>
      <c r="Q17" s="29"/>
      <c r="R17" s="29"/>
      <c r="S17" s="29"/>
      <c r="T17" s="38"/>
      <c r="U17" s="33">
        <v>0.4</v>
      </c>
      <c r="V17" s="34">
        <v>0.4</v>
      </c>
      <c r="W17" s="34">
        <v>0.4</v>
      </c>
      <c r="X17" s="34">
        <v>0.4</v>
      </c>
      <c r="Y17" s="34">
        <v>0.4</v>
      </c>
      <c r="Z17" s="34">
        <v>0.4</v>
      </c>
      <c r="AA17" s="34">
        <v>0.4</v>
      </c>
      <c r="AB17" s="35">
        <v>0.4</v>
      </c>
      <c r="AC17" s="23"/>
      <c r="AD17" s="24" t="e">
        <f>HLOOKUP($AD$3,$U$3:$AB$25,15)</f>
        <v>#N/A</v>
      </c>
      <c r="AF17" s="20"/>
      <c r="AG17" s="20"/>
      <c r="AH17" s="20"/>
      <c r="AI17" s="20"/>
    </row>
    <row r="18" spans="2:35" s="19" customFormat="1" ht="20.25" customHeight="1">
      <c r="B18" s="28" t="s">
        <v>61</v>
      </c>
      <c r="C18" s="29"/>
      <c r="D18" s="29"/>
      <c r="E18" s="29"/>
      <c r="F18" s="29"/>
      <c r="G18" s="29"/>
      <c r="H18" s="29"/>
      <c r="I18" s="29"/>
      <c r="J18" s="29"/>
      <c r="K18" s="29"/>
      <c r="L18" s="29"/>
      <c r="M18" s="29"/>
      <c r="N18" s="29"/>
      <c r="O18" s="29"/>
      <c r="P18" s="29"/>
      <c r="Q18" s="29"/>
      <c r="R18" s="29"/>
      <c r="S18" s="29"/>
      <c r="T18" s="38"/>
      <c r="U18" s="33">
        <v>0.4</v>
      </c>
      <c r="V18" s="34">
        <v>0.4</v>
      </c>
      <c r="W18" s="34">
        <v>0.4</v>
      </c>
      <c r="X18" s="34">
        <v>0.4</v>
      </c>
      <c r="Y18" s="34">
        <v>0.4</v>
      </c>
      <c r="Z18" s="34">
        <v>0.4</v>
      </c>
      <c r="AA18" s="34">
        <v>0.4</v>
      </c>
      <c r="AB18" s="35">
        <v>0.4</v>
      </c>
      <c r="AC18" s="23"/>
      <c r="AD18" s="24" t="e">
        <f>HLOOKUP($AD$3,$U$3:$AB$25,16)</f>
        <v>#N/A</v>
      </c>
      <c r="AF18" s="20"/>
      <c r="AG18" s="20"/>
      <c r="AH18" s="20"/>
      <c r="AI18" s="20"/>
    </row>
    <row r="19" spans="2:35" s="19" customFormat="1" ht="20.25" customHeight="1">
      <c r="B19" s="28" t="s">
        <v>62</v>
      </c>
      <c r="C19" s="29"/>
      <c r="D19" s="29"/>
      <c r="E19" s="29"/>
      <c r="F19" s="29"/>
      <c r="G19" s="29"/>
      <c r="H19" s="29"/>
      <c r="I19" s="29"/>
      <c r="J19" s="29"/>
      <c r="K19" s="29"/>
      <c r="L19" s="29"/>
      <c r="M19" s="29"/>
      <c r="N19" s="29"/>
      <c r="O19" s="29"/>
      <c r="P19" s="29"/>
      <c r="Q19" s="29"/>
      <c r="R19" s="29"/>
      <c r="S19" s="29"/>
      <c r="T19" s="38"/>
      <c r="U19" s="39">
        <f t="shared" ref="U19:AB19" si="10">1-(U17+U18)</f>
        <v>0.19999999999999996</v>
      </c>
      <c r="V19" s="40">
        <f t="shared" si="10"/>
        <v>0.19999999999999996</v>
      </c>
      <c r="W19" s="40">
        <f t="shared" si="10"/>
        <v>0.19999999999999996</v>
      </c>
      <c r="X19" s="40">
        <f t="shared" si="10"/>
        <v>0.19999999999999996</v>
      </c>
      <c r="Y19" s="40">
        <f t="shared" ref="Y19:Z19" si="11">1-(Y17+Y18)</f>
        <v>0.19999999999999996</v>
      </c>
      <c r="Z19" s="40">
        <f t="shared" si="11"/>
        <v>0.19999999999999996</v>
      </c>
      <c r="AA19" s="40">
        <f t="shared" si="10"/>
        <v>0.19999999999999996</v>
      </c>
      <c r="AB19" s="41">
        <f t="shared" si="10"/>
        <v>0.19999999999999996</v>
      </c>
      <c r="AC19" s="23"/>
      <c r="AD19" s="24" t="e">
        <f>HLOOKUP($AD$3,$U$3:$AB$25,17)</f>
        <v>#N/A</v>
      </c>
      <c r="AF19" s="20"/>
      <c r="AG19" s="20"/>
      <c r="AH19" s="20"/>
      <c r="AI19" s="20"/>
    </row>
    <row r="20" spans="2:35" s="19" customFormat="1" ht="20.25" customHeight="1">
      <c r="B20" s="26" t="s">
        <v>63</v>
      </c>
      <c r="C20" s="27"/>
      <c r="D20" s="27"/>
      <c r="E20" s="27"/>
      <c r="F20" s="27"/>
      <c r="G20" s="27"/>
      <c r="H20" s="27"/>
      <c r="I20" s="27"/>
      <c r="J20" s="27"/>
      <c r="K20" s="36"/>
      <c r="L20" s="33">
        <v>0.5</v>
      </c>
      <c r="M20" s="34">
        <v>0.5</v>
      </c>
      <c r="N20" s="34">
        <v>0.5</v>
      </c>
      <c r="O20" s="34">
        <v>0.5</v>
      </c>
      <c r="P20" s="34">
        <v>0.5</v>
      </c>
      <c r="Q20" s="34">
        <v>0.5</v>
      </c>
      <c r="R20" s="34">
        <v>0.5</v>
      </c>
      <c r="S20" s="35">
        <v>0.5</v>
      </c>
      <c r="T20" s="37"/>
      <c r="U20" s="27"/>
      <c r="V20" s="27"/>
      <c r="W20" s="27"/>
      <c r="X20" s="27"/>
      <c r="Y20" s="27"/>
      <c r="Z20" s="27"/>
      <c r="AA20" s="27"/>
      <c r="AB20" s="27"/>
      <c r="AC20" s="21"/>
      <c r="AD20" s="22" t="e">
        <f>HLOOKUP($AD$3,$L$3:$S$25,18)</f>
        <v>#N/A</v>
      </c>
      <c r="AF20" s="20"/>
      <c r="AG20" s="20"/>
      <c r="AH20" s="20"/>
      <c r="AI20" s="20"/>
    </row>
    <row r="21" spans="2:35" s="19" customFormat="1" ht="20.25" customHeight="1">
      <c r="B21" s="28" t="s">
        <v>64</v>
      </c>
      <c r="C21" s="29"/>
      <c r="D21" s="29"/>
      <c r="E21" s="29"/>
      <c r="F21" s="29"/>
      <c r="G21" s="29"/>
      <c r="H21" s="29"/>
      <c r="I21" s="29"/>
      <c r="J21" s="29"/>
      <c r="K21" s="29"/>
      <c r="L21" s="29"/>
      <c r="M21" s="29"/>
      <c r="N21" s="29"/>
      <c r="O21" s="29"/>
      <c r="P21" s="29"/>
      <c r="Q21" s="29"/>
      <c r="R21" s="29"/>
      <c r="S21" s="29"/>
      <c r="T21" s="38"/>
      <c r="U21" s="33">
        <v>0.6</v>
      </c>
      <c r="V21" s="34">
        <v>0.6</v>
      </c>
      <c r="W21" s="34">
        <v>0.6</v>
      </c>
      <c r="X21" s="34">
        <v>0.6</v>
      </c>
      <c r="Y21" s="34">
        <v>0.6</v>
      </c>
      <c r="Z21" s="34">
        <v>0.6</v>
      </c>
      <c r="AA21" s="34">
        <v>0.6</v>
      </c>
      <c r="AB21" s="35">
        <v>0.6</v>
      </c>
      <c r="AC21" s="23"/>
      <c r="AD21" s="24" t="e">
        <f>HLOOKUP($AD$3,$U$3:$AB$25,19)</f>
        <v>#N/A</v>
      </c>
      <c r="AF21" s="20"/>
      <c r="AG21" s="20"/>
      <c r="AH21" s="20"/>
      <c r="AI21" s="20"/>
    </row>
    <row r="22" spans="2:35" s="19" customFormat="1" ht="20.25" customHeight="1">
      <c r="B22" s="28" t="s">
        <v>65</v>
      </c>
      <c r="C22" s="29"/>
      <c r="D22" s="29"/>
      <c r="E22" s="29"/>
      <c r="F22" s="29"/>
      <c r="G22" s="29"/>
      <c r="H22" s="29"/>
      <c r="I22" s="29"/>
      <c r="J22" s="29"/>
      <c r="K22" s="29"/>
      <c r="L22" s="29"/>
      <c r="M22" s="29"/>
      <c r="N22" s="29"/>
      <c r="O22" s="29"/>
      <c r="P22" s="29"/>
      <c r="Q22" s="29"/>
      <c r="R22" s="29"/>
      <c r="S22" s="29"/>
      <c r="T22" s="38"/>
      <c r="U22" s="39">
        <f t="shared" ref="U22:AB22" si="12">1-U21</f>
        <v>0.4</v>
      </c>
      <c r="V22" s="40">
        <f t="shared" si="12"/>
        <v>0.4</v>
      </c>
      <c r="W22" s="40">
        <f t="shared" si="12"/>
        <v>0.4</v>
      </c>
      <c r="X22" s="40">
        <f t="shared" si="12"/>
        <v>0.4</v>
      </c>
      <c r="Y22" s="40">
        <f t="shared" ref="Y22:Z22" si="13">1-Y21</f>
        <v>0.4</v>
      </c>
      <c r="Z22" s="40">
        <f t="shared" si="13"/>
        <v>0.4</v>
      </c>
      <c r="AA22" s="40">
        <f t="shared" si="12"/>
        <v>0.4</v>
      </c>
      <c r="AB22" s="41">
        <f t="shared" si="12"/>
        <v>0.4</v>
      </c>
      <c r="AC22" s="23"/>
      <c r="AD22" s="24" t="e">
        <f>HLOOKUP($AD$3,$U$3:$AB$25,20)</f>
        <v>#N/A</v>
      </c>
      <c r="AF22" s="20"/>
      <c r="AG22" s="20"/>
      <c r="AH22" s="20"/>
      <c r="AI22" s="20"/>
    </row>
    <row r="23" spans="2:35" s="19" customFormat="1" ht="20.25" customHeight="1">
      <c r="B23" s="26" t="s">
        <v>66</v>
      </c>
      <c r="C23" s="27"/>
      <c r="D23" s="27"/>
      <c r="E23" s="27"/>
      <c r="F23" s="27"/>
      <c r="G23" s="27"/>
      <c r="H23" s="27"/>
      <c r="I23" s="27"/>
      <c r="J23" s="27"/>
      <c r="K23" s="36"/>
      <c r="L23" s="49">
        <f t="shared" ref="L23:R23" si="14">1-(L16+L20)</f>
        <v>0.19999999999999996</v>
      </c>
      <c r="M23" s="50">
        <f t="shared" si="14"/>
        <v>0.19999999999999996</v>
      </c>
      <c r="N23" s="50">
        <f t="shared" si="14"/>
        <v>0.19999999999999996</v>
      </c>
      <c r="O23" s="50">
        <f t="shared" si="14"/>
        <v>0.19999999999999996</v>
      </c>
      <c r="P23" s="50">
        <f t="shared" ref="P23" si="15">1-(P16+P20)</f>
        <v>0.19999999999999996</v>
      </c>
      <c r="Q23" s="50">
        <f>1-(Q16+Q20)</f>
        <v>0.19999999999999996</v>
      </c>
      <c r="R23" s="50">
        <f t="shared" si="14"/>
        <v>0.19999999999999996</v>
      </c>
      <c r="S23" s="51">
        <f>1-(S16+S20)</f>
        <v>0.19999999999999996</v>
      </c>
      <c r="T23" s="37"/>
      <c r="U23" s="27"/>
      <c r="V23" s="27"/>
      <c r="W23" s="27"/>
      <c r="X23" s="27"/>
      <c r="Y23" s="27"/>
      <c r="Z23" s="27"/>
      <c r="AA23" s="27"/>
      <c r="AB23" s="27"/>
      <c r="AC23" s="21"/>
      <c r="AD23" s="22" t="e">
        <f>HLOOKUP($AD$3,$L$3:$S$25,21)</f>
        <v>#N/A</v>
      </c>
      <c r="AF23" s="20"/>
      <c r="AG23" s="20"/>
      <c r="AH23" s="20"/>
      <c r="AI23" s="20"/>
    </row>
    <row r="24" spans="2:35" s="19" customFormat="1" ht="20.25" customHeight="1">
      <c r="B24" s="28" t="s">
        <v>67</v>
      </c>
      <c r="C24" s="29"/>
      <c r="D24" s="29"/>
      <c r="E24" s="29"/>
      <c r="F24" s="29"/>
      <c r="G24" s="29"/>
      <c r="H24" s="29"/>
      <c r="I24" s="29"/>
      <c r="J24" s="29"/>
      <c r="K24" s="29"/>
      <c r="L24" s="29"/>
      <c r="M24" s="29"/>
      <c r="N24" s="29"/>
      <c r="O24" s="29"/>
      <c r="P24" s="29"/>
      <c r="Q24" s="29"/>
      <c r="R24" s="29"/>
      <c r="S24" s="29"/>
      <c r="T24" s="38"/>
      <c r="U24" s="33">
        <v>0.3</v>
      </c>
      <c r="V24" s="34">
        <v>0.3</v>
      </c>
      <c r="W24" s="34">
        <v>0.3</v>
      </c>
      <c r="X24" s="34">
        <v>0.3</v>
      </c>
      <c r="Y24" s="34">
        <v>0.3</v>
      </c>
      <c r="Z24" s="34">
        <v>0.3</v>
      </c>
      <c r="AA24" s="34">
        <v>0.3</v>
      </c>
      <c r="AB24" s="35">
        <v>0.3</v>
      </c>
      <c r="AC24" s="23"/>
      <c r="AD24" s="24" t="e">
        <f>HLOOKUP($AD$3,$U$3:$AB$25,22)</f>
        <v>#N/A</v>
      </c>
      <c r="AF24" s="20"/>
      <c r="AG24" s="20"/>
      <c r="AH24" s="20"/>
      <c r="AI24" s="20"/>
    </row>
    <row r="25" spans="2:35" s="19" customFormat="1" ht="20.25" customHeight="1" thickBot="1">
      <c r="B25" s="28" t="s">
        <v>68</v>
      </c>
      <c r="C25" s="29"/>
      <c r="D25" s="29"/>
      <c r="E25" s="29"/>
      <c r="F25" s="29"/>
      <c r="G25" s="29"/>
      <c r="H25" s="29"/>
      <c r="I25" s="29"/>
      <c r="J25" s="29"/>
      <c r="K25" s="29"/>
      <c r="L25" s="29"/>
      <c r="M25" s="29"/>
      <c r="N25" s="29"/>
      <c r="O25" s="29"/>
      <c r="P25" s="29"/>
      <c r="Q25" s="29"/>
      <c r="R25" s="29"/>
      <c r="S25" s="29"/>
      <c r="T25" s="38"/>
      <c r="U25" s="39">
        <f>1-U24</f>
        <v>0.7</v>
      </c>
      <c r="V25" s="40">
        <f t="shared" ref="V25:AB25" si="16">1-V24</f>
        <v>0.7</v>
      </c>
      <c r="W25" s="40">
        <f t="shared" si="16"/>
        <v>0.7</v>
      </c>
      <c r="X25" s="40">
        <f t="shared" si="16"/>
        <v>0.7</v>
      </c>
      <c r="Y25" s="40">
        <f t="shared" ref="Y25:Z25" si="17">1-Y24</f>
        <v>0.7</v>
      </c>
      <c r="Z25" s="40">
        <f t="shared" si="17"/>
        <v>0.7</v>
      </c>
      <c r="AA25" s="40">
        <f t="shared" si="16"/>
        <v>0.7</v>
      </c>
      <c r="AB25" s="41">
        <f t="shared" si="16"/>
        <v>0.7</v>
      </c>
      <c r="AC25" s="23"/>
      <c r="AD25" s="47" t="e">
        <f>HLOOKUP($AD$3,$U$3:$AB$25,23)</f>
        <v>#N/A</v>
      </c>
      <c r="AF25" s="20"/>
      <c r="AG25" s="20"/>
      <c r="AH25" s="20"/>
      <c r="AI25" s="20"/>
    </row>
    <row r="26" spans="2:35" ht="20.25" customHeight="1">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227" t="s">
        <v>77</v>
      </c>
    </row>
  </sheetData>
  <sheetProtection algorithmName="SHA-512" hashValue="jYp3MBjs6Ftf0cn+52oBCXs8UlFJYu5LvgwRoU4hb0ATC/cCmVBd5NuXkDU7EaLCngJAopLOTIvqFsiawg0Few==" saltValue="b4ZfJcBZ4MGFIFMMFjyOYw==" spinCount="100000" sheet="1" objects="1" scenarios="1"/>
  <mergeCells count="3">
    <mergeCell ref="C2:J2"/>
    <mergeCell ref="L2:S2"/>
    <mergeCell ref="U2:AB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3950D-DFCB-47FE-9AD5-1FEC211055EB}">
  <dimension ref="A1:AC27"/>
  <sheetViews>
    <sheetView showGridLines="0" showRowColHeaders="0" tabSelected="1" topLeftCell="A25" workbookViewId="0">
      <pane xSplit="2" topLeftCell="C1" activePane="topRight" state="frozen"/>
      <selection activeCell="A5" sqref="A5"/>
      <selection pane="topRight" activeCell="A3" sqref="A3"/>
    </sheetView>
  </sheetViews>
  <sheetFormatPr defaultColWidth="9.140625" defaultRowHeight="11.25"/>
  <cols>
    <col min="1" max="1" width="4.42578125" style="258" customWidth="1"/>
    <col min="2" max="2" width="7.28515625" style="265" customWidth="1"/>
    <col min="3" max="3" width="14.85546875" style="265" customWidth="1"/>
    <col min="4" max="4" width="9" style="260" customWidth="1"/>
    <col min="5" max="5" width="12.42578125" style="260" customWidth="1"/>
    <col min="6" max="6" width="32.28515625" style="258" customWidth="1"/>
    <col min="7" max="7" width="22.42578125" style="258" customWidth="1"/>
    <col min="8" max="14" width="8.5703125" style="261" customWidth="1"/>
    <col min="15" max="15" width="1.28515625" style="261" customWidth="1"/>
    <col min="16" max="19" width="15.85546875" style="261" customWidth="1"/>
    <col min="20" max="20" width="49.42578125" style="260" customWidth="1"/>
    <col min="21" max="21" width="34.28515625" style="260" customWidth="1"/>
    <col min="22" max="22" width="1.28515625" style="261" customWidth="1"/>
    <col min="23" max="23" width="7.42578125" style="315" bestFit="1" customWidth="1"/>
    <col min="24" max="24" width="12.85546875" style="315" customWidth="1"/>
    <col min="25" max="25" width="19.28515625" style="318" customWidth="1"/>
    <col min="26" max="26" width="7" style="315" bestFit="1" customWidth="1"/>
    <col min="27" max="27" width="1.28515625" style="261" customWidth="1"/>
    <col min="28" max="28" width="15.85546875" style="259" bestFit="1" customWidth="1"/>
    <col min="29" max="29" width="15.28515625" style="258" bestFit="1" customWidth="1"/>
    <col min="30" max="16384" width="9.140625" style="258"/>
  </cols>
  <sheetData>
    <row r="1" spans="1:29" s="262" customFormat="1">
      <c r="A1" s="353" t="s">
        <v>78</v>
      </c>
      <c r="B1" s="354"/>
      <c r="C1" s="354"/>
      <c r="D1" s="354"/>
      <c r="E1" s="354"/>
      <c r="F1" s="305"/>
      <c r="G1" s="306"/>
      <c r="H1" s="357" t="s">
        <v>79</v>
      </c>
      <c r="I1" s="358"/>
      <c r="J1" s="359"/>
      <c r="K1" s="357" t="s">
        <v>80</v>
      </c>
      <c r="L1" s="359"/>
      <c r="M1" s="357" t="s">
        <v>81</v>
      </c>
      <c r="N1" s="359"/>
      <c r="O1" s="371"/>
      <c r="P1" s="349" t="s">
        <v>82</v>
      </c>
      <c r="Q1" s="363"/>
      <c r="R1" s="363"/>
      <c r="S1" s="350"/>
      <c r="T1" s="367" t="s">
        <v>83</v>
      </c>
      <c r="U1" s="368"/>
      <c r="V1" s="373"/>
      <c r="W1" s="349" t="s">
        <v>84</v>
      </c>
      <c r="X1" s="363"/>
      <c r="Y1" s="363"/>
      <c r="Z1" s="350"/>
      <c r="AA1" s="309"/>
      <c r="AB1" s="349" t="s">
        <v>85</v>
      </c>
      <c r="AC1" s="350"/>
    </row>
    <row r="2" spans="1:29" s="264" customFormat="1" ht="12" thickBot="1">
      <c r="A2" s="355"/>
      <c r="B2" s="356"/>
      <c r="C2" s="356"/>
      <c r="D2" s="356"/>
      <c r="E2" s="356"/>
      <c r="F2" s="307"/>
      <c r="G2" s="308" t="s">
        <v>86</v>
      </c>
      <c r="H2" s="360"/>
      <c r="I2" s="361"/>
      <c r="J2" s="362"/>
      <c r="K2" s="360"/>
      <c r="L2" s="362"/>
      <c r="M2" s="360"/>
      <c r="N2" s="362"/>
      <c r="O2" s="371"/>
      <c r="P2" s="364"/>
      <c r="Q2" s="365"/>
      <c r="R2" s="365"/>
      <c r="S2" s="366"/>
      <c r="T2" s="369"/>
      <c r="U2" s="370"/>
      <c r="V2" s="373"/>
      <c r="W2" s="374"/>
      <c r="X2" s="375"/>
      <c r="Y2" s="375"/>
      <c r="Z2" s="376"/>
      <c r="AA2" s="263"/>
      <c r="AB2" s="351"/>
      <c r="AC2" s="352"/>
    </row>
    <row r="3" spans="1:29" s="271" customFormat="1" ht="101.25">
      <c r="A3" s="282"/>
      <c r="B3" s="283" t="s">
        <v>20</v>
      </c>
      <c r="C3" s="284" t="s">
        <v>87</v>
      </c>
      <c r="D3" s="266" t="s">
        <v>88</v>
      </c>
      <c r="E3" s="272" t="s">
        <v>89</v>
      </c>
      <c r="F3" s="266" t="s">
        <v>90</v>
      </c>
      <c r="G3" s="272" t="s">
        <v>91</v>
      </c>
      <c r="H3" s="273" t="s">
        <v>92</v>
      </c>
      <c r="I3" s="275" t="s">
        <v>93</v>
      </c>
      <c r="J3" s="274" t="s">
        <v>94</v>
      </c>
      <c r="K3" s="273" t="s">
        <v>95</v>
      </c>
      <c r="L3" s="274" t="s">
        <v>96</v>
      </c>
      <c r="M3" s="273" t="s">
        <v>97</v>
      </c>
      <c r="N3" s="274" t="s">
        <v>98</v>
      </c>
      <c r="O3" s="372"/>
      <c r="P3" s="312" t="s">
        <v>99</v>
      </c>
      <c r="Q3" s="313" t="s">
        <v>100</v>
      </c>
      <c r="R3" s="313" t="s">
        <v>101</v>
      </c>
      <c r="S3" s="314" t="s">
        <v>102</v>
      </c>
      <c r="T3" s="310" t="s">
        <v>83</v>
      </c>
      <c r="U3" s="311" t="s">
        <v>103</v>
      </c>
      <c r="V3" s="373"/>
      <c r="W3" s="267" t="s">
        <v>104</v>
      </c>
      <c r="X3" s="268" t="s">
        <v>105</v>
      </c>
      <c r="Y3" s="270" t="s">
        <v>106</v>
      </c>
      <c r="Z3" s="269" t="s">
        <v>91</v>
      </c>
      <c r="AA3" s="304"/>
      <c r="AB3" s="316" t="s">
        <v>107</v>
      </c>
      <c r="AC3" s="317" t="s">
        <v>108</v>
      </c>
    </row>
    <row r="4" spans="1:29" ht="101.25">
      <c r="A4" s="285" t="s">
        <v>109</v>
      </c>
      <c r="B4" s="286" t="s">
        <v>110</v>
      </c>
      <c r="C4" s="287" t="s">
        <v>111</v>
      </c>
      <c r="D4" s="228" t="s">
        <v>112</v>
      </c>
      <c r="E4" s="228" t="s">
        <v>113</v>
      </c>
      <c r="F4" s="228" t="s">
        <v>114</v>
      </c>
      <c r="G4" s="228" t="s">
        <v>115</v>
      </c>
      <c r="H4" s="276"/>
      <c r="I4" s="277">
        <v>1</v>
      </c>
      <c r="J4" s="278">
        <v>1</v>
      </c>
      <c r="K4" s="276">
        <v>1</v>
      </c>
      <c r="L4" s="278">
        <v>1</v>
      </c>
      <c r="M4" s="276">
        <v>1</v>
      </c>
      <c r="N4" s="278">
        <v>1</v>
      </c>
      <c r="O4" s="257"/>
      <c r="P4" s="229" t="s">
        <v>116</v>
      </c>
      <c r="Q4" s="230" t="s">
        <v>117</v>
      </c>
      <c r="R4" s="230" t="s">
        <v>118</v>
      </c>
      <c r="S4" s="231" t="s">
        <v>119</v>
      </c>
      <c r="T4" s="291" t="s">
        <v>120</v>
      </c>
      <c r="U4" s="292" t="s">
        <v>121</v>
      </c>
      <c r="V4" s="257"/>
      <c r="W4" s="229" t="s">
        <v>122</v>
      </c>
      <c r="X4" s="230" t="s">
        <v>123</v>
      </c>
      <c r="Y4" s="232"/>
      <c r="Z4" s="231">
        <v>3</v>
      </c>
      <c r="AA4" s="257"/>
    </row>
    <row r="5" spans="1:29" ht="112.5">
      <c r="A5" s="288" t="s">
        <v>124</v>
      </c>
      <c r="B5" s="289" t="s">
        <v>125</v>
      </c>
      <c r="C5" s="290" t="s">
        <v>126</v>
      </c>
      <c r="D5" s="233" t="s">
        <v>112</v>
      </c>
      <c r="E5" s="233" t="s">
        <v>127</v>
      </c>
      <c r="F5" s="233" t="s">
        <v>128</v>
      </c>
      <c r="G5" s="233" t="s">
        <v>129</v>
      </c>
      <c r="H5" s="279"/>
      <c r="I5" s="280">
        <v>1</v>
      </c>
      <c r="J5" s="281">
        <v>1</v>
      </c>
      <c r="K5" s="279">
        <v>1</v>
      </c>
      <c r="L5" s="281">
        <v>1</v>
      </c>
      <c r="M5" s="279">
        <v>1</v>
      </c>
      <c r="N5" s="281">
        <v>1</v>
      </c>
      <c r="O5" s="257"/>
      <c r="P5" s="234" t="s">
        <v>130</v>
      </c>
      <c r="Q5" s="235" t="s">
        <v>131</v>
      </c>
      <c r="R5" s="235" t="s">
        <v>132</v>
      </c>
      <c r="S5" s="236" t="s">
        <v>133</v>
      </c>
      <c r="T5" s="293" t="s">
        <v>134</v>
      </c>
      <c r="U5" s="294" t="s">
        <v>135</v>
      </c>
      <c r="V5" s="257"/>
      <c r="W5" s="234" t="s">
        <v>122</v>
      </c>
      <c r="X5" s="235"/>
      <c r="Y5" s="237"/>
      <c r="Z5" s="236">
        <v>3</v>
      </c>
      <c r="AA5" s="257"/>
    </row>
    <row r="6" spans="1:29" ht="90">
      <c r="A6" s="288">
        <v>2</v>
      </c>
      <c r="B6" s="289" t="s">
        <v>136</v>
      </c>
      <c r="C6" s="290" t="s">
        <v>137</v>
      </c>
      <c r="D6" s="233" t="s">
        <v>112</v>
      </c>
      <c r="E6" s="233" t="s">
        <v>138</v>
      </c>
      <c r="F6" s="233" t="s">
        <v>139</v>
      </c>
      <c r="G6" s="233" t="s">
        <v>140</v>
      </c>
      <c r="H6" s="279"/>
      <c r="I6" s="280">
        <v>1</v>
      </c>
      <c r="J6" s="281"/>
      <c r="K6" s="279">
        <v>1</v>
      </c>
      <c r="L6" s="281">
        <v>1</v>
      </c>
      <c r="M6" s="279">
        <v>1</v>
      </c>
      <c r="N6" s="281">
        <v>1</v>
      </c>
      <c r="O6" s="257"/>
      <c r="P6" s="238" t="s">
        <v>141</v>
      </c>
      <c r="Q6" s="239" t="s">
        <v>142</v>
      </c>
      <c r="R6" s="239" t="s">
        <v>143</v>
      </c>
      <c r="S6" s="240" t="s">
        <v>144</v>
      </c>
      <c r="T6" s="291" t="s">
        <v>145</v>
      </c>
      <c r="U6" s="292"/>
      <c r="V6" s="257"/>
      <c r="W6" s="238" t="s">
        <v>146</v>
      </c>
      <c r="X6" s="239"/>
      <c r="Y6" s="241"/>
      <c r="Z6" s="240">
        <v>3</v>
      </c>
      <c r="AA6" s="257"/>
    </row>
    <row r="7" spans="1:29" ht="78.75">
      <c r="A7" s="288">
        <v>2</v>
      </c>
      <c r="B7" s="289" t="s">
        <v>147</v>
      </c>
      <c r="C7" s="290" t="s">
        <v>148</v>
      </c>
      <c r="D7" s="233" t="s">
        <v>112</v>
      </c>
      <c r="E7" s="233" t="s">
        <v>138</v>
      </c>
      <c r="F7" s="233" t="s">
        <v>149</v>
      </c>
      <c r="G7" s="233" t="s">
        <v>150</v>
      </c>
      <c r="H7" s="279"/>
      <c r="I7" s="280">
        <v>1</v>
      </c>
      <c r="J7" s="281"/>
      <c r="K7" s="279">
        <v>1</v>
      </c>
      <c r="L7" s="281">
        <v>1</v>
      </c>
      <c r="M7" s="279">
        <v>1</v>
      </c>
      <c r="N7" s="281">
        <v>1</v>
      </c>
      <c r="O7" s="257"/>
      <c r="P7" s="238" t="s">
        <v>141</v>
      </c>
      <c r="Q7" s="239" t="s">
        <v>151</v>
      </c>
      <c r="R7" s="239" t="s">
        <v>152</v>
      </c>
      <c r="S7" s="240" t="s">
        <v>153</v>
      </c>
      <c r="T7" s="291" t="s">
        <v>154</v>
      </c>
      <c r="U7" s="292"/>
      <c r="V7" s="257"/>
      <c r="W7" s="238" t="s">
        <v>146</v>
      </c>
      <c r="X7" s="239"/>
      <c r="Y7" s="241"/>
      <c r="Z7" s="240">
        <v>3</v>
      </c>
      <c r="AA7" s="257"/>
    </row>
    <row r="8" spans="1:29" ht="90">
      <c r="A8" s="288">
        <v>3</v>
      </c>
      <c r="B8" s="289" t="s">
        <v>155</v>
      </c>
      <c r="C8" s="290" t="s">
        <v>156</v>
      </c>
      <c r="D8" s="233" t="s">
        <v>112</v>
      </c>
      <c r="E8" s="233" t="s">
        <v>138</v>
      </c>
      <c r="F8" s="233" t="s">
        <v>157</v>
      </c>
      <c r="G8" s="233" t="s">
        <v>158</v>
      </c>
      <c r="H8" s="279"/>
      <c r="I8" s="280"/>
      <c r="J8" s="281"/>
      <c r="K8" s="279">
        <v>1</v>
      </c>
      <c r="L8" s="281">
        <v>1</v>
      </c>
      <c r="M8" s="279">
        <v>1</v>
      </c>
      <c r="N8" s="281">
        <v>1</v>
      </c>
      <c r="O8" s="257"/>
      <c r="P8" s="242" t="s">
        <v>159</v>
      </c>
      <c r="Q8" s="243" t="s">
        <v>160</v>
      </c>
      <c r="R8" s="243" t="s">
        <v>161</v>
      </c>
      <c r="S8" s="244" t="s">
        <v>162</v>
      </c>
      <c r="T8" s="295" t="s">
        <v>163</v>
      </c>
      <c r="U8" s="296"/>
      <c r="V8" s="257"/>
      <c r="W8" s="242" t="s">
        <v>164</v>
      </c>
      <c r="X8" s="243"/>
      <c r="Y8" s="245" t="s">
        <v>165</v>
      </c>
      <c r="Z8" s="244">
        <v>0</v>
      </c>
      <c r="AA8" s="257"/>
    </row>
    <row r="9" spans="1:29" ht="67.5">
      <c r="A9" s="288">
        <v>4</v>
      </c>
      <c r="B9" s="289" t="s">
        <v>166</v>
      </c>
      <c r="C9" s="290" t="s">
        <v>167</v>
      </c>
      <c r="D9" s="233" t="s">
        <v>112</v>
      </c>
      <c r="E9" s="233" t="s">
        <v>138</v>
      </c>
      <c r="F9" s="233" t="s">
        <v>168</v>
      </c>
      <c r="G9" s="233" t="s">
        <v>169</v>
      </c>
      <c r="H9" s="279">
        <v>1</v>
      </c>
      <c r="I9" s="280"/>
      <c r="J9" s="281"/>
      <c r="K9" s="279"/>
      <c r="L9" s="281"/>
      <c r="M9" s="279"/>
      <c r="N9" s="281"/>
      <c r="O9" s="257"/>
      <c r="P9" s="238" t="s">
        <v>170</v>
      </c>
      <c r="Q9" s="246" t="s">
        <v>171</v>
      </c>
      <c r="R9" s="246" t="s">
        <v>172</v>
      </c>
      <c r="S9" s="247" t="s">
        <v>173</v>
      </c>
      <c r="T9" s="297" t="s">
        <v>174</v>
      </c>
      <c r="U9" s="298" t="s">
        <v>175</v>
      </c>
      <c r="V9" s="257"/>
      <c r="W9" s="238" t="s">
        <v>176</v>
      </c>
      <c r="X9" s="246"/>
      <c r="Y9" s="248"/>
      <c r="Z9" s="247">
        <v>2</v>
      </c>
      <c r="AA9" s="257"/>
    </row>
    <row r="10" spans="1:29" ht="67.5">
      <c r="A10" s="288" t="s">
        <v>177</v>
      </c>
      <c r="B10" s="289" t="s">
        <v>178</v>
      </c>
      <c r="C10" s="290" t="s">
        <v>179</v>
      </c>
      <c r="D10" s="233" t="s">
        <v>112</v>
      </c>
      <c r="E10" s="233" t="s">
        <v>138</v>
      </c>
      <c r="F10" s="233" t="s">
        <v>180</v>
      </c>
      <c r="G10" s="233" t="s">
        <v>181</v>
      </c>
      <c r="H10" s="279">
        <v>1</v>
      </c>
      <c r="I10" s="280"/>
      <c r="J10" s="281"/>
      <c r="K10" s="279"/>
      <c r="L10" s="281"/>
      <c r="M10" s="279"/>
      <c r="N10" s="281"/>
      <c r="O10" s="257"/>
      <c r="P10" s="242" t="s">
        <v>182</v>
      </c>
      <c r="Q10" s="246" t="s">
        <v>183</v>
      </c>
      <c r="R10" s="246" t="s">
        <v>184</v>
      </c>
      <c r="S10" s="247" t="s">
        <v>185</v>
      </c>
      <c r="T10" s="297" t="s">
        <v>186</v>
      </c>
      <c r="U10" s="298" t="s">
        <v>187</v>
      </c>
      <c r="V10" s="257"/>
      <c r="W10" s="242" t="s">
        <v>188</v>
      </c>
      <c r="X10" s="246" t="s">
        <v>189</v>
      </c>
      <c r="Y10" s="248"/>
      <c r="Z10" s="247">
        <v>1</v>
      </c>
      <c r="AA10" s="257"/>
    </row>
    <row r="11" spans="1:29" ht="67.5">
      <c r="A11" s="288">
        <v>6</v>
      </c>
      <c r="B11" s="289" t="s">
        <v>190</v>
      </c>
      <c r="C11" s="290" t="s">
        <v>191</v>
      </c>
      <c r="D11" s="233" t="s">
        <v>112</v>
      </c>
      <c r="E11" s="233" t="s">
        <v>138</v>
      </c>
      <c r="F11" s="233" t="s">
        <v>192</v>
      </c>
      <c r="G11" s="233" t="s">
        <v>193</v>
      </c>
      <c r="H11" s="279">
        <v>1</v>
      </c>
      <c r="I11" s="280">
        <v>1</v>
      </c>
      <c r="J11" s="281"/>
      <c r="K11" s="279">
        <v>1</v>
      </c>
      <c r="L11" s="281">
        <v>1</v>
      </c>
      <c r="M11" s="279">
        <v>1</v>
      </c>
      <c r="N11" s="281"/>
      <c r="O11" s="257"/>
      <c r="P11" s="238" t="s">
        <v>194</v>
      </c>
      <c r="Q11" s="239" t="s">
        <v>195</v>
      </c>
      <c r="R11" s="239" t="s">
        <v>196</v>
      </c>
      <c r="S11" s="240" t="s">
        <v>197</v>
      </c>
      <c r="T11" s="291" t="s">
        <v>198</v>
      </c>
      <c r="U11" s="292" t="s">
        <v>199</v>
      </c>
      <c r="V11" s="257"/>
      <c r="W11" s="238" t="s">
        <v>176</v>
      </c>
      <c r="X11" s="239"/>
      <c r="Y11" s="241" t="s">
        <v>200</v>
      </c>
      <c r="Z11" s="240">
        <v>3</v>
      </c>
      <c r="AA11" s="257"/>
    </row>
    <row r="12" spans="1:29" ht="101.25">
      <c r="A12" s="288">
        <v>7</v>
      </c>
      <c r="B12" s="289" t="s">
        <v>201</v>
      </c>
      <c r="C12" s="290" t="s">
        <v>202</v>
      </c>
      <c r="D12" s="233" t="s">
        <v>112</v>
      </c>
      <c r="E12" s="233" t="s">
        <v>138</v>
      </c>
      <c r="F12" s="233" t="s">
        <v>203</v>
      </c>
      <c r="G12" s="233" t="s">
        <v>204</v>
      </c>
      <c r="H12" s="279"/>
      <c r="I12" s="280"/>
      <c r="J12" s="281">
        <v>1</v>
      </c>
      <c r="K12" s="279">
        <v>1</v>
      </c>
      <c r="L12" s="281">
        <v>1</v>
      </c>
      <c r="M12" s="279"/>
      <c r="N12" s="281">
        <v>1</v>
      </c>
      <c r="O12" s="257"/>
      <c r="P12" s="238" t="s">
        <v>205</v>
      </c>
      <c r="Q12" s="239" t="s">
        <v>206</v>
      </c>
      <c r="R12" s="239" t="s">
        <v>207</v>
      </c>
      <c r="S12" s="240" t="s">
        <v>208</v>
      </c>
      <c r="T12" s="291" t="s">
        <v>209</v>
      </c>
      <c r="U12" s="292"/>
      <c r="V12" s="257"/>
      <c r="W12" s="238" t="s">
        <v>146</v>
      </c>
      <c r="X12" s="239"/>
      <c r="Y12" s="241" t="s">
        <v>210</v>
      </c>
      <c r="Z12" s="240">
        <v>3</v>
      </c>
      <c r="AA12" s="257"/>
    </row>
    <row r="13" spans="1:29" ht="101.25">
      <c r="A13" s="288">
        <v>9</v>
      </c>
      <c r="B13" s="289" t="s">
        <v>211</v>
      </c>
      <c r="C13" s="290" t="s">
        <v>212</v>
      </c>
      <c r="D13" s="233" t="s">
        <v>112</v>
      </c>
      <c r="E13" s="233" t="s">
        <v>138</v>
      </c>
      <c r="F13" s="233" t="s">
        <v>213</v>
      </c>
      <c r="G13" s="233" t="s">
        <v>214</v>
      </c>
      <c r="H13" s="279"/>
      <c r="I13" s="280">
        <v>1</v>
      </c>
      <c r="J13" s="281">
        <v>1</v>
      </c>
      <c r="K13" s="279">
        <v>1</v>
      </c>
      <c r="L13" s="281">
        <v>1</v>
      </c>
      <c r="M13" s="279">
        <v>1</v>
      </c>
      <c r="N13" s="281"/>
      <c r="O13" s="257"/>
      <c r="P13" s="234" t="s">
        <v>215</v>
      </c>
      <c r="Q13" s="235" t="s">
        <v>216</v>
      </c>
      <c r="R13" s="235" t="s">
        <v>217</v>
      </c>
      <c r="S13" s="236" t="s">
        <v>218</v>
      </c>
      <c r="T13" s="293" t="s">
        <v>219</v>
      </c>
      <c r="U13" s="294"/>
      <c r="V13" s="257"/>
      <c r="W13" s="234" t="s">
        <v>176</v>
      </c>
      <c r="X13" s="235"/>
      <c r="Y13" s="237" t="s">
        <v>220</v>
      </c>
      <c r="Z13" s="236"/>
      <c r="AA13" s="257"/>
    </row>
    <row r="14" spans="1:29" ht="123.75">
      <c r="A14" s="288">
        <v>10</v>
      </c>
      <c r="B14" s="289" t="s">
        <v>221</v>
      </c>
      <c r="C14" s="290" t="s">
        <v>222</v>
      </c>
      <c r="D14" s="233" t="s">
        <v>112</v>
      </c>
      <c r="E14" s="233" t="s">
        <v>138</v>
      </c>
      <c r="F14" s="233" t="s">
        <v>223</v>
      </c>
      <c r="G14" s="233" t="s">
        <v>224</v>
      </c>
      <c r="H14" s="279"/>
      <c r="I14" s="280"/>
      <c r="J14" s="281"/>
      <c r="K14" s="279">
        <v>1</v>
      </c>
      <c r="L14" s="281"/>
      <c r="M14" s="279"/>
      <c r="N14" s="281"/>
      <c r="O14" s="257"/>
      <c r="P14" s="238" t="s">
        <v>225</v>
      </c>
      <c r="Q14" s="239" t="s">
        <v>226</v>
      </c>
      <c r="R14" s="239" t="s">
        <v>227</v>
      </c>
      <c r="S14" s="240" t="s">
        <v>228</v>
      </c>
      <c r="T14" s="291" t="s">
        <v>229</v>
      </c>
      <c r="U14" s="292"/>
      <c r="V14" s="257"/>
      <c r="W14" s="238" t="s">
        <v>122</v>
      </c>
      <c r="X14" s="239"/>
      <c r="Y14" s="241" t="s">
        <v>230</v>
      </c>
      <c r="Z14" s="240">
        <v>1</v>
      </c>
      <c r="AA14" s="257"/>
    </row>
    <row r="15" spans="1:29" ht="67.5">
      <c r="A15" s="288">
        <v>11</v>
      </c>
      <c r="B15" s="289" t="s">
        <v>231</v>
      </c>
      <c r="C15" s="290" t="s">
        <v>232</v>
      </c>
      <c r="D15" s="233" t="s">
        <v>112</v>
      </c>
      <c r="E15" s="233" t="s">
        <v>138</v>
      </c>
      <c r="F15" s="233" t="s">
        <v>233</v>
      </c>
      <c r="G15" s="233" t="s">
        <v>234</v>
      </c>
      <c r="H15" s="279"/>
      <c r="I15" s="280"/>
      <c r="J15" s="281"/>
      <c r="K15" s="279">
        <v>1</v>
      </c>
      <c r="L15" s="281"/>
      <c r="M15" s="279"/>
      <c r="N15" s="281">
        <v>1</v>
      </c>
      <c r="O15" s="257"/>
      <c r="P15" s="238" t="s">
        <v>235</v>
      </c>
      <c r="Q15" s="239" t="s">
        <v>236</v>
      </c>
      <c r="R15" s="239" t="s">
        <v>237</v>
      </c>
      <c r="S15" s="240" t="s">
        <v>238</v>
      </c>
      <c r="T15" s="291" t="s">
        <v>239</v>
      </c>
      <c r="U15" s="292"/>
      <c r="V15" s="257"/>
      <c r="W15" s="238" t="s">
        <v>146</v>
      </c>
      <c r="X15" s="239"/>
      <c r="Y15" s="241" t="s">
        <v>240</v>
      </c>
      <c r="Z15" s="240">
        <v>1</v>
      </c>
      <c r="AA15" s="257"/>
    </row>
    <row r="16" spans="1:29" ht="165.75" customHeight="1">
      <c r="A16" s="288">
        <v>12</v>
      </c>
      <c r="B16" s="289" t="s">
        <v>241</v>
      </c>
      <c r="C16" s="290" t="s">
        <v>242</v>
      </c>
      <c r="D16" s="233" t="s">
        <v>112</v>
      </c>
      <c r="E16" s="233" t="s">
        <v>138</v>
      </c>
      <c r="F16" s="233" t="s">
        <v>243</v>
      </c>
      <c r="G16" s="233" t="s">
        <v>244</v>
      </c>
      <c r="H16" s="279"/>
      <c r="I16" s="280">
        <v>1</v>
      </c>
      <c r="J16" s="281"/>
      <c r="K16" s="279"/>
      <c r="L16" s="281"/>
      <c r="M16" s="279"/>
      <c r="N16" s="281"/>
      <c r="O16" s="257"/>
      <c r="P16" s="234" t="s">
        <v>245</v>
      </c>
      <c r="Q16" s="235" t="s">
        <v>246</v>
      </c>
      <c r="R16" s="235" t="s">
        <v>247</v>
      </c>
      <c r="S16" s="236" t="s">
        <v>248</v>
      </c>
      <c r="T16" s="293" t="s">
        <v>249</v>
      </c>
      <c r="U16" s="294"/>
      <c r="V16" s="257"/>
      <c r="W16" s="234" t="s">
        <v>250</v>
      </c>
      <c r="X16" s="235"/>
      <c r="Y16" s="237" t="s">
        <v>251</v>
      </c>
      <c r="Z16" s="236"/>
      <c r="AA16" s="257"/>
    </row>
    <row r="17" spans="1:27" ht="56.25">
      <c r="A17" s="288">
        <v>13</v>
      </c>
      <c r="B17" s="289" t="s">
        <v>252</v>
      </c>
      <c r="C17" s="290" t="s">
        <v>253</v>
      </c>
      <c r="D17" s="233" t="s">
        <v>112</v>
      </c>
      <c r="E17" s="233" t="s">
        <v>138</v>
      </c>
      <c r="F17" s="233" t="s">
        <v>254</v>
      </c>
      <c r="G17" s="233" t="s">
        <v>255</v>
      </c>
      <c r="H17" s="279"/>
      <c r="I17" s="280">
        <v>1</v>
      </c>
      <c r="J17" s="281"/>
      <c r="K17" s="279">
        <v>1</v>
      </c>
      <c r="L17" s="281"/>
      <c r="M17" s="279">
        <v>1</v>
      </c>
      <c r="N17" s="281"/>
      <c r="O17" s="257"/>
      <c r="P17" s="238" t="s">
        <v>256</v>
      </c>
      <c r="Q17" s="239" t="s">
        <v>257</v>
      </c>
      <c r="R17" s="239" t="s">
        <v>258</v>
      </c>
      <c r="S17" s="240" t="s">
        <v>259</v>
      </c>
      <c r="T17" s="291" t="s">
        <v>260</v>
      </c>
      <c r="U17" s="292"/>
      <c r="V17" s="257"/>
      <c r="W17" s="238" t="s">
        <v>261</v>
      </c>
      <c r="X17" s="239"/>
      <c r="Y17" s="241"/>
      <c r="Z17" s="240">
        <v>0</v>
      </c>
      <c r="AA17" s="257"/>
    </row>
    <row r="18" spans="1:27" ht="101.25">
      <c r="A18" s="288">
        <v>14</v>
      </c>
      <c r="B18" s="289" t="s">
        <v>262</v>
      </c>
      <c r="C18" s="290" t="s">
        <v>263</v>
      </c>
      <c r="D18" s="233" t="s">
        <v>112</v>
      </c>
      <c r="E18" s="233" t="s">
        <v>138</v>
      </c>
      <c r="F18" s="233" t="s">
        <v>264</v>
      </c>
      <c r="G18" s="233" t="s">
        <v>265</v>
      </c>
      <c r="H18" s="279"/>
      <c r="I18" s="280"/>
      <c r="J18" s="281"/>
      <c r="K18" s="279">
        <v>1</v>
      </c>
      <c r="L18" s="281"/>
      <c r="M18" s="279">
        <v>1</v>
      </c>
      <c r="N18" s="281">
        <v>1</v>
      </c>
      <c r="O18" s="257"/>
      <c r="P18" s="234" t="s">
        <v>266</v>
      </c>
      <c r="Q18" s="235" t="s">
        <v>267</v>
      </c>
      <c r="R18" s="235" t="s">
        <v>268</v>
      </c>
      <c r="S18" s="236" t="s">
        <v>269</v>
      </c>
      <c r="T18" s="293" t="s">
        <v>270</v>
      </c>
      <c r="U18" s="294" t="s">
        <v>271</v>
      </c>
      <c r="V18" s="257"/>
      <c r="W18" s="234" t="s">
        <v>122</v>
      </c>
      <c r="X18" s="235"/>
      <c r="Y18" s="237"/>
      <c r="Z18" s="236">
        <v>3</v>
      </c>
      <c r="AA18" s="257"/>
    </row>
    <row r="19" spans="1:27" ht="90">
      <c r="A19" s="288">
        <v>15</v>
      </c>
      <c r="B19" s="289" t="s">
        <v>272</v>
      </c>
      <c r="C19" s="290" t="s">
        <v>273</v>
      </c>
      <c r="D19" s="233" t="s">
        <v>112</v>
      </c>
      <c r="E19" s="233" t="s">
        <v>127</v>
      </c>
      <c r="F19" s="233" t="s">
        <v>274</v>
      </c>
      <c r="G19" s="233" t="s">
        <v>275</v>
      </c>
      <c r="H19" s="279"/>
      <c r="I19" s="280"/>
      <c r="J19" s="281">
        <v>1</v>
      </c>
      <c r="K19" s="279"/>
      <c r="L19" s="281"/>
      <c r="M19" s="279"/>
      <c r="N19" s="281"/>
      <c r="O19" s="257"/>
      <c r="P19" s="238" t="s">
        <v>276</v>
      </c>
      <c r="Q19" s="239" t="s">
        <v>277</v>
      </c>
      <c r="R19" s="239" t="s">
        <v>278</v>
      </c>
      <c r="S19" s="240" t="s">
        <v>279</v>
      </c>
      <c r="T19" s="291" t="s">
        <v>280</v>
      </c>
      <c r="U19" s="292" t="s">
        <v>281</v>
      </c>
      <c r="V19" s="257"/>
      <c r="W19" s="238" t="s">
        <v>122</v>
      </c>
      <c r="X19" s="239" t="s">
        <v>282</v>
      </c>
      <c r="Y19" s="241" t="s">
        <v>283</v>
      </c>
      <c r="Z19" s="240">
        <v>3</v>
      </c>
      <c r="AA19" s="257"/>
    </row>
    <row r="20" spans="1:27" ht="90">
      <c r="A20" s="288">
        <v>16</v>
      </c>
      <c r="B20" s="289" t="s">
        <v>284</v>
      </c>
      <c r="C20" s="290" t="s">
        <v>285</v>
      </c>
      <c r="D20" s="233" t="s">
        <v>286</v>
      </c>
      <c r="E20" s="233" t="s">
        <v>138</v>
      </c>
      <c r="F20" s="233" t="s">
        <v>287</v>
      </c>
      <c r="G20" s="233" t="s">
        <v>288</v>
      </c>
      <c r="H20" s="279"/>
      <c r="I20" s="280">
        <v>1</v>
      </c>
      <c r="J20" s="281"/>
      <c r="K20" s="279"/>
      <c r="L20" s="281"/>
      <c r="M20" s="279"/>
      <c r="N20" s="281"/>
      <c r="O20" s="257"/>
      <c r="P20" s="238" t="s">
        <v>289</v>
      </c>
      <c r="Q20" s="239" t="s">
        <v>290</v>
      </c>
      <c r="R20" s="239" t="s">
        <v>291</v>
      </c>
      <c r="S20" s="240" t="s">
        <v>292</v>
      </c>
      <c r="T20" s="291" t="s">
        <v>293</v>
      </c>
      <c r="U20" s="292" t="s">
        <v>294</v>
      </c>
      <c r="V20" s="257"/>
      <c r="W20" s="238" t="s">
        <v>250</v>
      </c>
      <c r="X20" s="239" t="s">
        <v>295</v>
      </c>
      <c r="Y20" s="241"/>
      <c r="Z20" s="240">
        <v>0</v>
      </c>
      <c r="AA20" s="257"/>
    </row>
    <row r="21" spans="1:27" ht="90.75" customHeight="1">
      <c r="A21" s="288">
        <v>17</v>
      </c>
      <c r="B21" s="289" t="s">
        <v>296</v>
      </c>
      <c r="C21" s="290" t="s">
        <v>297</v>
      </c>
      <c r="D21" s="233" t="s">
        <v>286</v>
      </c>
      <c r="E21" s="233" t="s">
        <v>138</v>
      </c>
      <c r="F21" s="233" t="s">
        <v>298</v>
      </c>
      <c r="G21" s="233" t="s">
        <v>299</v>
      </c>
      <c r="H21" s="279">
        <v>1</v>
      </c>
      <c r="I21" s="280"/>
      <c r="J21" s="281"/>
      <c r="K21" s="279">
        <v>1</v>
      </c>
      <c r="L21" s="281">
        <v>1</v>
      </c>
      <c r="M21" s="279"/>
      <c r="N21" s="281">
        <v>1</v>
      </c>
      <c r="O21" s="257"/>
      <c r="P21" s="238" t="s">
        <v>300</v>
      </c>
      <c r="Q21" s="239" t="s">
        <v>301</v>
      </c>
      <c r="R21" s="239" t="s">
        <v>302</v>
      </c>
      <c r="S21" s="240" t="s">
        <v>303</v>
      </c>
      <c r="T21" s="291" t="s">
        <v>304</v>
      </c>
      <c r="U21" s="292" t="s">
        <v>294</v>
      </c>
      <c r="V21" s="257"/>
      <c r="W21" s="238" t="s">
        <v>146</v>
      </c>
      <c r="X21" s="239" t="s">
        <v>295</v>
      </c>
      <c r="Y21" s="241" t="s">
        <v>305</v>
      </c>
      <c r="Z21" s="240">
        <v>2</v>
      </c>
      <c r="AA21" s="257"/>
    </row>
    <row r="22" spans="1:27" ht="99" customHeight="1">
      <c r="A22" s="288">
        <v>18</v>
      </c>
      <c r="B22" s="289" t="s">
        <v>306</v>
      </c>
      <c r="C22" s="290" t="s">
        <v>307</v>
      </c>
      <c r="D22" s="233" t="s">
        <v>286</v>
      </c>
      <c r="E22" s="233" t="s">
        <v>113</v>
      </c>
      <c r="F22" s="233" t="s">
        <v>308</v>
      </c>
      <c r="G22" s="233" t="s">
        <v>309</v>
      </c>
      <c r="H22" s="279"/>
      <c r="I22" s="280"/>
      <c r="J22" s="281"/>
      <c r="K22" s="279"/>
      <c r="L22" s="281">
        <v>1</v>
      </c>
      <c r="M22" s="279">
        <v>1</v>
      </c>
      <c r="N22" s="281">
        <v>1</v>
      </c>
      <c r="O22" s="257"/>
      <c r="P22" s="234" t="s">
        <v>310</v>
      </c>
      <c r="Q22" s="235" t="s">
        <v>311</v>
      </c>
      <c r="R22" s="235" t="s">
        <v>312</v>
      </c>
      <c r="S22" s="236" t="s">
        <v>313</v>
      </c>
      <c r="T22" s="293" t="s">
        <v>314</v>
      </c>
      <c r="U22" s="294" t="s">
        <v>294</v>
      </c>
      <c r="V22" s="257"/>
      <c r="W22" s="234" t="s">
        <v>250</v>
      </c>
      <c r="X22" s="235"/>
      <c r="Y22" s="237" t="s">
        <v>315</v>
      </c>
      <c r="Z22" s="236">
        <v>2</v>
      </c>
      <c r="AA22" s="257"/>
    </row>
    <row r="23" spans="1:27" ht="45">
      <c r="A23" s="288">
        <v>19</v>
      </c>
      <c r="B23" s="289" t="s">
        <v>316</v>
      </c>
      <c r="C23" s="290" t="s">
        <v>317</v>
      </c>
      <c r="D23" s="233" t="s">
        <v>286</v>
      </c>
      <c r="E23" s="233" t="s">
        <v>138</v>
      </c>
      <c r="F23" s="233" t="s">
        <v>318</v>
      </c>
      <c r="G23" s="233" t="s">
        <v>319</v>
      </c>
      <c r="H23" s="279"/>
      <c r="I23" s="280"/>
      <c r="J23" s="281"/>
      <c r="K23" s="279"/>
      <c r="L23" s="281"/>
      <c r="M23" s="279"/>
      <c r="N23" s="281">
        <v>1</v>
      </c>
      <c r="O23" s="257"/>
      <c r="P23" s="249" t="s">
        <v>320</v>
      </c>
      <c r="Q23" s="250" t="s">
        <v>321</v>
      </c>
      <c r="R23" s="250" t="s">
        <v>322</v>
      </c>
      <c r="S23" s="251" t="s">
        <v>323</v>
      </c>
      <c r="T23" s="299" t="s">
        <v>324</v>
      </c>
      <c r="U23" s="294" t="s">
        <v>294</v>
      </c>
      <c r="V23" s="257"/>
      <c r="W23" s="249" t="s">
        <v>146</v>
      </c>
      <c r="X23" s="250"/>
      <c r="Y23" s="252"/>
      <c r="Z23" s="251">
        <v>2</v>
      </c>
      <c r="AA23" s="257"/>
    </row>
    <row r="24" spans="1:27" ht="78.75">
      <c r="A24" s="288">
        <v>20</v>
      </c>
      <c r="B24" s="289" t="s">
        <v>325</v>
      </c>
      <c r="C24" s="290" t="s">
        <v>326</v>
      </c>
      <c r="D24" s="233" t="s">
        <v>286</v>
      </c>
      <c r="E24" s="233" t="s">
        <v>127</v>
      </c>
      <c r="F24" s="233" t="s">
        <v>327</v>
      </c>
      <c r="G24" s="233" t="s">
        <v>328</v>
      </c>
      <c r="H24" s="279">
        <v>1</v>
      </c>
      <c r="I24" s="280"/>
      <c r="J24" s="281"/>
      <c r="K24" s="279">
        <v>1</v>
      </c>
      <c r="L24" s="281"/>
      <c r="M24" s="279">
        <v>1</v>
      </c>
      <c r="N24" s="281">
        <v>1</v>
      </c>
      <c r="O24" s="257"/>
      <c r="P24" s="238" t="s">
        <v>329</v>
      </c>
      <c r="Q24" s="239" t="s">
        <v>330</v>
      </c>
      <c r="R24" s="239" t="s">
        <v>331</v>
      </c>
      <c r="S24" s="240" t="s">
        <v>332</v>
      </c>
      <c r="T24" s="291" t="s">
        <v>333</v>
      </c>
      <c r="U24" s="292"/>
      <c r="V24" s="257"/>
      <c r="W24" s="238" t="s">
        <v>146</v>
      </c>
      <c r="X24" s="239"/>
      <c r="Y24" s="241"/>
      <c r="Z24" s="240">
        <v>2</v>
      </c>
      <c r="AA24" s="257"/>
    </row>
    <row r="25" spans="1:27" ht="101.25">
      <c r="A25" s="288">
        <v>21</v>
      </c>
      <c r="B25" s="289" t="s">
        <v>334</v>
      </c>
      <c r="C25" s="290" t="s">
        <v>335</v>
      </c>
      <c r="D25" s="233" t="s">
        <v>286</v>
      </c>
      <c r="E25" s="233" t="s">
        <v>127</v>
      </c>
      <c r="F25" s="233" t="s">
        <v>336</v>
      </c>
      <c r="G25" s="233" t="s">
        <v>337</v>
      </c>
      <c r="H25" s="279"/>
      <c r="I25" s="280"/>
      <c r="J25" s="281"/>
      <c r="K25" s="279"/>
      <c r="L25" s="281"/>
      <c r="M25" s="279"/>
      <c r="N25" s="281">
        <v>1</v>
      </c>
      <c r="O25" s="257"/>
      <c r="P25" s="229" t="s">
        <v>338</v>
      </c>
      <c r="Q25" s="230" t="s">
        <v>339</v>
      </c>
      <c r="R25" s="230" t="s">
        <v>340</v>
      </c>
      <c r="S25" s="231" t="s">
        <v>341</v>
      </c>
      <c r="T25" s="300" t="s">
        <v>342</v>
      </c>
      <c r="U25" s="301"/>
      <c r="V25" s="257"/>
      <c r="W25" s="229" t="s">
        <v>146</v>
      </c>
      <c r="X25" s="230"/>
      <c r="Y25" s="232"/>
      <c r="Z25" s="231">
        <v>1</v>
      </c>
      <c r="AA25" s="257"/>
    </row>
    <row r="26" spans="1:27" ht="45">
      <c r="A26" s="288">
        <v>22</v>
      </c>
      <c r="B26" s="289" t="s">
        <v>343</v>
      </c>
      <c r="C26" s="290" t="s">
        <v>344</v>
      </c>
      <c r="D26" s="233" t="s">
        <v>286</v>
      </c>
      <c r="E26" s="233" t="s">
        <v>127</v>
      </c>
      <c r="F26" s="233" t="s">
        <v>345</v>
      </c>
      <c r="G26" s="233" t="s">
        <v>346</v>
      </c>
      <c r="H26" s="279">
        <v>1</v>
      </c>
      <c r="I26" s="280"/>
      <c r="J26" s="281"/>
      <c r="K26" s="279">
        <v>1</v>
      </c>
      <c r="L26" s="281"/>
      <c r="M26" s="279">
        <v>1</v>
      </c>
      <c r="N26" s="281">
        <v>1</v>
      </c>
      <c r="O26" s="257"/>
      <c r="P26" s="229" t="s">
        <v>347</v>
      </c>
      <c r="Q26" s="230" t="s">
        <v>348</v>
      </c>
      <c r="R26" s="230" t="s">
        <v>349</v>
      </c>
      <c r="S26" s="231" t="s">
        <v>350</v>
      </c>
      <c r="T26" s="300" t="s">
        <v>351</v>
      </c>
      <c r="U26" s="301" t="s">
        <v>352</v>
      </c>
      <c r="V26" s="257"/>
      <c r="W26" s="229" t="s">
        <v>146</v>
      </c>
      <c r="X26" s="230"/>
      <c r="Y26" s="232"/>
      <c r="Z26" s="231">
        <v>1</v>
      </c>
      <c r="AA26" s="257"/>
    </row>
    <row r="27" spans="1:27" ht="78.75">
      <c r="A27" s="288">
        <v>23</v>
      </c>
      <c r="B27" s="289" t="s">
        <v>353</v>
      </c>
      <c r="C27" s="290" t="s">
        <v>354</v>
      </c>
      <c r="D27" s="233" t="s">
        <v>286</v>
      </c>
      <c r="E27" s="233" t="s">
        <v>127</v>
      </c>
      <c r="F27" s="233" t="s">
        <v>355</v>
      </c>
      <c r="G27" s="233" t="s">
        <v>356</v>
      </c>
      <c r="H27" s="279">
        <v>1</v>
      </c>
      <c r="I27" s="280"/>
      <c r="J27" s="281"/>
      <c r="K27" s="279"/>
      <c r="L27" s="281"/>
      <c r="M27" s="279"/>
      <c r="N27" s="281">
        <v>1</v>
      </c>
      <c r="O27" s="257"/>
      <c r="P27" s="253" t="s">
        <v>357</v>
      </c>
      <c r="Q27" s="254" t="s">
        <v>358</v>
      </c>
      <c r="R27" s="254" t="s">
        <v>359</v>
      </c>
      <c r="S27" s="255" t="s">
        <v>360</v>
      </c>
      <c r="T27" s="302" t="s">
        <v>361</v>
      </c>
      <c r="U27" s="303"/>
      <c r="V27" s="257"/>
      <c r="W27" s="253" t="s">
        <v>250</v>
      </c>
      <c r="X27" s="254"/>
      <c r="Y27" s="256"/>
      <c r="Z27" s="255">
        <v>1</v>
      </c>
      <c r="AA27" s="257"/>
    </row>
  </sheetData>
  <sheetProtection algorithmName="SHA-512" hashValue="G03AMBm9+5TqEp+56L3tswIdjY3aN+SaqU7J9w9CYczJaDYw/cv6TrJej0Z4YTZWewendIw9ZFhSBac9rFLJUw==" saltValue="c2OSQStN7CtJPo6XuI16Kw==" spinCount="100000" sheet="1" objects="1" scenarios="1"/>
  <sortState xmlns:xlrd2="http://schemas.microsoft.com/office/spreadsheetml/2017/richdata2" ref="A4:Z27">
    <sortCondition descending="1" ref="D4:D27"/>
  </sortState>
  <mergeCells count="10">
    <mergeCell ref="AB1:AC2"/>
    <mergeCell ref="A1:E2"/>
    <mergeCell ref="H1:J2"/>
    <mergeCell ref="K1:L2"/>
    <mergeCell ref="M1:N2"/>
    <mergeCell ref="P1:S2"/>
    <mergeCell ref="T1:U2"/>
    <mergeCell ref="O1:O3"/>
    <mergeCell ref="V1:V3"/>
    <mergeCell ref="W1:Z2"/>
  </mergeCells>
  <phoneticPr fontId="6" type="noConversion"/>
  <conditionalFormatting sqref="H4:N27">
    <cfRule type="expression" dxfId="0" priority="1">
      <formula>H4=1</formula>
    </cfRule>
  </conditionalFormatting>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9d4d8a-d2e8-430a-b742-0bde6677c999">
      <Terms xmlns="http://schemas.microsoft.com/office/infopath/2007/PartnerControls"/>
    </lcf76f155ced4ddcb4097134ff3c332f>
    <TaxCatchAll xmlns="04f11fb8-5d4e-46be-bbb1-70ba70dc70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16" ma:contentTypeDescription="Een nieuw document maken." ma:contentTypeScope="" ma:versionID="095236c7c5c90d18aee844d2b2d325fd">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ab9cb84e6023444ea812b1e74566aa07"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b13a9d0f-6f6a-4ad1-a919-7bc0974a20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a6dc3ff-9a76-42d8-98af-261312b710e9}" ma:internalName="TaxCatchAll" ma:showField="CatchAllData" ma:web="04f11fb8-5d4e-46be-bbb1-70ba70dc70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180428-846A-4FBA-9AF3-EE7E833740B6}">
  <ds:schemaRefs>
    <ds:schemaRef ds:uri="http://schemas.microsoft.com/office/infopath/2007/PartnerControls"/>
    <ds:schemaRef ds:uri="http://purl.org/dc/terms/"/>
    <ds:schemaRef ds:uri="http://purl.org/dc/elements/1.1/"/>
    <ds:schemaRef ds:uri="http://purl.org/dc/dcmitype/"/>
    <ds:schemaRef ds:uri="http://www.w3.org/XML/1998/namespace"/>
    <ds:schemaRef ds:uri="180eaeb9-aca1-4571-83a6-29a6c06d7150"/>
    <ds:schemaRef ds:uri="http://schemas.microsoft.com/office/2006/documentManagement/types"/>
    <ds:schemaRef ds:uri="http://schemas.openxmlformats.org/package/2006/metadata/core-properties"/>
    <ds:schemaRef ds:uri="582f79d4-9565-4a9c-bd4e-e02107b610c7"/>
    <ds:schemaRef ds:uri="http://schemas.microsoft.com/office/2006/metadata/properties"/>
    <ds:schemaRef ds:uri="199d4d8a-d2e8-430a-b742-0bde6677c999"/>
    <ds:schemaRef ds:uri="04f11fb8-5d4e-46be-bbb1-70ba70dc708d"/>
  </ds:schemaRefs>
</ds:datastoreItem>
</file>

<file path=customXml/itemProps2.xml><?xml version="1.0" encoding="utf-8"?>
<ds:datastoreItem xmlns:ds="http://schemas.openxmlformats.org/officeDocument/2006/customXml" ds:itemID="{13E20B66-BFAE-4FAE-AD54-D7E1A8F324E1}">
  <ds:schemaRefs>
    <ds:schemaRef ds:uri="http://schemas.microsoft.com/sharepoint/v3/contenttype/forms"/>
  </ds:schemaRefs>
</ds:datastoreItem>
</file>

<file path=customXml/itemProps3.xml><?xml version="1.0" encoding="utf-8"?>
<ds:datastoreItem xmlns:ds="http://schemas.openxmlformats.org/officeDocument/2006/customXml" ds:itemID="{042EC74F-F4EF-4B97-BA98-B4B21487F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Calculation sheet, 23-05-22</vt:lpstr>
      <vt:lpstr>Weighting factors,14-06-21</vt:lpstr>
      <vt:lpstr>Indicators,16-12-21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Anink</dc:creator>
  <cp:keywords/>
  <dc:description/>
  <cp:lastModifiedBy>June Derlachter</cp:lastModifiedBy>
  <cp:revision/>
  <dcterms:created xsi:type="dcterms:W3CDTF">2020-07-14T15:11:54Z</dcterms:created>
  <dcterms:modified xsi:type="dcterms:W3CDTF">2022-08-15T01:35:17Z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ies>
</file>